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80" yWindow="0" windowWidth="25600" windowHeight="1550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3" l="1"/>
  <c r="C74" i="3"/>
  <c r="C90" i="3"/>
  <c r="E100" i="3"/>
  <c r="J16" i="4"/>
  <c r="D70" i="3"/>
  <c r="B70" i="3"/>
  <c r="D66" i="3"/>
  <c r="B66" i="3"/>
  <c r="A111" i="6"/>
  <c r="C7" i="3"/>
  <c r="C8" i="3"/>
  <c r="B14" i="3"/>
  <c r="G8" i="6"/>
  <c r="A18" i="6"/>
  <c r="C111" i="6"/>
  <c r="D111" i="6"/>
  <c r="G3" i="6"/>
  <c r="G2" i="6"/>
  <c r="F111" i="6"/>
  <c r="G111" i="6"/>
  <c r="H4" i="6"/>
  <c r="H111" i="6"/>
  <c r="I111" i="6"/>
  <c r="A112" i="6"/>
  <c r="C112" i="6"/>
  <c r="D112" i="6"/>
  <c r="F112" i="6"/>
  <c r="G112" i="6"/>
  <c r="H112" i="6"/>
  <c r="I112" i="6"/>
  <c r="A113" i="6"/>
  <c r="C113" i="6"/>
  <c r="D113" i="6"/>
  <c r="F113" i="6"/>
  <c r="G113" i="6"/>
  <c r="H113" i="6"/>
  <c r="I113" i="6"/>
  <c r="A114" i="6"/>
  <c r="C114" i="6"/>
  <c r="D114" i="6"/>
  <c r="F114" i="6"/>
  <c r="G114" i="6"/>
  <c r="H114" i="6"/>
  <c r="I114" i="6"/>
  <c r="A115" i="6"/>
  <c r="C115" i="6"/>
  <c r="D115" i="6"/>
  <c r="F115" i="6"/>
  <c r="G115" i="6"/>
  <c r="H115" i="6"/>
  <c r="I115" i="6"/>
  <c r="A102" i="6"/>
  <c r="C102" i="6"/>
  <c r="D102" i="6"/>
  <c r="F102" i="6"/>
  <c r="G102" i="6"/>
  <c r="H102" i="6"/>
  <c r="I102" i="6"/>
  <c r="A103" i="6"/>
  <c r="C103" i="6"/>
  <c r="D103" i="6"/>
  <c r="F103" i="6"/>
  <c r="G103" i="6"/>
  <c r="H103" i="6"/>
  <c r="I103" i="6"/>
  <c r="A104" i="6"/>
  <c r="C104" i="6"/>
  <c r="D104" i="6"/>
  <c r="F104" i="6"/>
  <c r="G104" i="6"/>
  <c r="H104" i="6"/>
  <c r="I104" i="6"/>
  <c r="A105" i="6"/>
  <c r="C105" i="6"/>
  <c r="D105" i="6"/>
  <c r="F105" i="6"/>
  <c r="G105" i="6"/>
  <c r="H105" i="6"/>
  <c r="I105" i="6"/>
  <c r="A106" i="6"/>
  <c r="C106" i="6"/>
  <c r="D106" i="6"/>
  <c r="F106" i="6"/>
  <c r="G106" i="6"/>
  <c r="H106" i="6"/>
  <c r="I106" i="6"/>
  <c r="A107" i="6"/>
  <c r="C107" i="6"/>
  <c r="D107" i="6"/>
  <c r="F107" i="6"/>
  <c r="G107" i="6"/>
  <c r="H107" i="6"/>
  <c r="I107" i="6"/>
  <c r="A108" i="6"/>
  <c r="C108" i="6"/>
  <c r="D108" i="6"/>
  <c r="F108" i="6"/>
  <c r="G108" i="6"/>
  <c r="H108" i="6"/>
  <c r="I108" i="6"/>
  <c r="A109" i="6"/>
  <c r="C109" i="6"/>
  <c r="D109" i="6"/>
  <c r="F109" i="6"/>
  <c r="G109" i="6"/>
  <c r="H109" i="6"/>
  <c r="I109" i="6"/>
  <c r="A110" i="6"/>
  <c r="C110" i="6"/>
  <c r="D110" i="6"/>
  <c r="F110" i="6"/>
  <c r="G110" i="6"/>
  <c r="H110" i="6"/>
  <c r="I110" i="6"/>
  <c r="B69" i="3"/>
  <c r="B85" i="3"/>
  <c r="B86" i="3"/>
  <c r="B65" i="3"/>
  <c r="B81" i="3"/>
  <c r="B82" i="3"/>
  <c r="I52" i="7"/>
  <c r="I51" i="7"/>
  <c r="D86" i="3"/>
  <c r="D82" i="3"/>
  <c r="D83" i="3"/>
  <c r="G26" i="6"/>
  <c r="K4" i="7"/>
  <c r="B6" i="7"/>
  <c r="E12" i="7"/>
  <c r="F12" i="7"/>
  <c r="G12" i="7"/>
  <c r="B9" i="7"/>
  <c r="B13" i="7"/>
  <c r="A12" i="7"/>
  <c r="B10" i="7"/>
  <c r="E10" i="7"/>
  <c r="E13" i="7"/>
  <c r="F13" i="7"/>
  <c r="G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E60" i="7"/>
  <c r="F60" i="7"/>
  <c r="G60" i="7"/>
  <c r="A60" i="7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E68" i="7"/>
  <c r="F68" i="7"/>
  <c r="G68" i="7"/>
  <c r="A68" i="7"/>
  <c r="H5" i="7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I13" i="4"/>
  <c r="I14" i="4"/>
  <c r="I80" i="4"/>
  <c r="B80" i="4"/>
  <c r="G9" i="4"/>
  <c r="G80" i="4"/>
  <c r="F9" i="4"/>
  <c r="F80" i="4"/>
  <c r="E9" i="4"/>
  <c r="E80" i="4"/>
  <c r="D9" i="4"/>
  <c r="D80" i="4"/>
  <c r="C9" i="4"/>
  <c r="C80" i="4"/>
  <c r="I79" i="4"/>
  <c r="B79" i="4"/>
  <c r="G79" i="4"/>
  <c r="F79" i="4"/>
  <c r="E79" i="4"/>
  <c r="D79" i="4"/>
  <c r="C79" i="4"/>
  <c r="I78" i="4"/>
  <c r="B78" i="4"/>
  <c r="G78" i="4"/>
  <c r="F78" i="4"/>
  <c r="E78" i="4"/>
  <c r="D78" i="4"/>
  <c r="C78" i="4"/>
  <c r="I77" i="4"/>
  <c r="B77" i="4"/>
  <c r="G77" i="4"/>
  <c r="F77" i="4"/>
  <c r="E77" i="4"/>
  <c r="D77" i="4"/>
  <c r="C77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M54" i="6"/>
  <c r="J6" i="4"/>
  <c r="I67" i="4"/>
  <c r="B67" i="4"/>
  <c r="G67" i="4"/>
  <c r="F67" i="4"/>
  <c r="E67" i="4"/>
  <c r="D67" i="4"/>
  <c r="C67" i="4"/>
  <c r="I66" i="4"/>
  <c r="B66" i="4"/>
  <c r="G66" i="4"/>
  <c r="F66" i="4"/>
  <c r="E66" i="4"/>
  <c r="D66" i="4"/>
  <c r="C66" i="4"/>
  <c r="I65" i="4"/>
  <c r="B65" i="4"/>
  <c r="G65" i="4"/>
  <c r="F65" i="4"/>
  <c r="E65" i="4"/>
  <c r="D65" i="4"/>
  <c r="C65" i="4"/>
  <c r="I64" i="4"/>
  <c r="B64" i="4"/>
  <c r="G64" i="4"/>
  <c r="F64" i="4"/>
  <c r="E64" i="4"/>
  <c r="D64" i="4"/>
  <c r="C64" i="4"/>
  <c r="I63" i="4"/>
  <c r="B63" i="4"/>
  <c r="G63" i="4"/>
  <c r="F63" i="4"/>
  <c r="E63" i="4"/>
  <c r="D63" i="4"/>
  <c r="C63" i="4"/>
  <c r="I62" i="4"/>
  <c r="B62" i="4"/>
  <c r="G62" i="4"/>
  <c r="F62" i="4"/>
  <c r="E62" i="4"/>
  <c r="D62" i="4"/>
  <c r="C62" i="4"/>
  <c r="I61" i="4"/>
  <c r="B61" i="4"/>
  <c r="G61" i="4"/>
  <c r="F61" i="4"/>
  <c r="E61" i="4"/>
  <c r="D61" i="4"/>
  <c r="C61" i="4"/>
  <c r="I60" i="4"/>
  <c r="B60" i="4"/>
  <c r="G60" i="4"/>
  <c r="F60" i="4"/>
  <c r="E60" i="4"/>
  <c r="D60" i="4"/>
  <c r="C60" i="4"/>
  <c r="I59" i="4"/>
  <c r="B59" i="4"/>
  <c r="G59" i="4"/>
  <c r="F59" i="4"/>
  <c r="E59" i="4"/>
  <c r="D59" i="4"/>
  <c r="C59" i="4"/>
  <c r="I58" i="4"/>
  <c r="B58" i="4"/>
  <c r="G58" i="4"/>
  <c r="F58" i="4"/>
  <c r="E58" i="4"/>
  <c r="D58" i="4"/>
  <c r="C58" i="4"/>
  <c r="I57" i="4"/>
  <c r="B57" i="4"/>
  <c r="G57" i="4"/>
  <c r="F57" i="4"/>
  <c r="E57" i="4"/>
  <c r="D57" i="4"/>
  <c r="C57" i="4"/>
  <c r="I56" i="4"/>
  <c r="B56" i="4"/>
  <c r="G56" i="4"/>
  <c r="F56" i="4"/>
  <c r="E56" i="4"/>
  <c r="D56" i="4"/>
  <c r="C56" i="4"/>
  <c r="M49" i="6"/>
  <c r="A14" i="6"/>
  <c r="D67" i="3"/>
  <c r="G23" i="6"/>
  <c r="K2" i="7"/>
  <c r="K88" i="3"/>
  <c r="K90" i="3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B21" i="3"/>
  <c r="A11" i="6"/>
  <c r="F26" i="6"/>
  <c r="G4" i="6"/>
  <c r="G5" i="6"/>
  <c r="A26" i="6"/>
  <c r="C43" i="3"/>
  <c r="C44" i="3"/>
  <c r="E26" i="3"/>
  <c r="B12" i="3"/>
  <c r="E28" i="3"/>
  <c r="E27" i="3"/>
  <c r="E29" i="3"/>
  <c r="B28" i="3"/>
  <c r="B29" i="3"/>
  <c r="D29" i="3"/>
  <c r="B15" i="3"/>
  <c r="B16" i="3"/>
  <c r="B26" i="3"/>
  <c r="B25" i="3"/>
  <c r="B27" i="3"/>
  <c r="B31" i="3"/>
  <c r="B32" i="3"/>
  <c r="C21" i="3"/>
  <c r="D90" i="3"/>
  <c r="D91" i="3"/>
  <c r="B90" i="3"/>
  <c r="B91" i="3"/>
  <c r="D74" i="3"/>
  <c r="D75" i="3"/>
  <c r="B74" i="3"/>
  <c r="B75" i="3"/>
  <c r="A99" i="3"/>
  <c r="D6" i="7"/>
  <c r="C6" i="7"/>
  <c r="E86" i="3"/>
  <c r="B84" i="3"/>
  <c r="B83" i="3"/>
  <c r="M52" i="6"/>
  <c r="F47" i="3"/>
  <c r="B47" i="3"/>
  <c r="B46" i="3"/>
  <c r="E37" i="3"/>
  <c r="F13" i="3"/>
  <c r="E13" i="3"/>
  <c r="B67" i="3"/>
  <c r="M51" i="6"/>
  <c r="D87" i="3"/>
  <c r="V70" i="3"/>
  <c r="X70" i="3"/>
  <c r="V71" i="3"/>
  <c r="X71" i="3"/>
  <c r="V72" i="3"/>
  <c r="X72" i="3"/>
  <c r="V73" i="3"/>
  <c r="X73" i="3"/>
  <c r="V74" i="3"/>
  <c r="X74" i="3"/>
  <c r="V75" i="3"/>
  <c r="X75" i="3"/>
  <c r="V76" i="3"/>
  <c r="X76" i="3"/>
  <c r="V77" i="3"/>
  <c r="X77" i="3"/>
  <c r="V78" i="3"/>
  <c r="X78" i="3"/>
  <c r="V79" i="3"/>
  <c r="X79" i="3"/>
  <c r="V80" i="3"/>
  <c r="X80" i="3"/>
  <c r="V81" i="3"/>
  <c r="X81" i="3"/>
  <c r="V82" i="3"/>
  <c r="X82" i="3"/>
  <c r="V83" i="3"/>
  <c r="X83" i="3"/>
  <c r="V84" i="3"/>
  <c r="X84" i="3"/>
  <c r="V85" i="3"/>
  <c r="X85" i="3"/>
  <c r="V86" i="3"/>
  <c r="X86" i="3"/>
  <c r="V87" i="3"/>
  <c r="X87" i="3"/>
  <c r="V88" i="3"/>
  <c r="X88" i="3"/>
  <c r="V89" i="3"/>
  <c r="X89" i="3"/>
  <c r="V90" i="3"/>
  <c r="X90" i="3"/>
  <c r="V91" i="3"/>
  <c r="X91" i="3"/>
  <c r="V92" i="3"/>
  <c r="X92" i="3"/>
  <c r="V93" i="3"/>
  <c r="X93" i="3"/>
  <c r="V94" i="3"/>
  <c r="X94" i="3"/>
  <c r="V95" i="3"/>
  <c r="X95" i="3"/>
  <c r="V96" i="3"/>
  <c r="X96" i="3"/>
  <c r="V97" i="3"/>
  <c r="X97" i="3"/>
  <c r="V98" i="3"/>
  <c r="X98" i="3"/>
  <c r="V99" i="3"/>
  <c r="X99" i="3"/>
  <c r="X69" i="3"/>
  <c r="C11" i="3"/>
  <c r="C37" i="3"/>
  <c r="B35" i="3"/>
  <c r="B34" i="3"/>
  <c r="D88" i="3"/>
  <c r="B87" i="3"/>
  <c r="B88" i="3"/>
  <c r="D71" i="3"/>
  <c r="D72" i="3"/>
  <c r="B71" i="3"/>
  <c r="B72" i="3"/>
  <c r="G25" i="6"/>
  <c r="F25" i="6"/>
  <c r="A25" i="6"/>
  <c r="K3" i="7"/>
  <c r="K1" i="7"/>
  <c r="E38" i="3"/>
  <c r="H26" i="6"/>
  <c r="I26" i="6"/>
  <c r="C26" i="6"/>
  <c r="D26" i="6"/>
  <c r="F23" i="6"/>
  <c r="H23" i="6"/>
  <c r="I23" i="6"/>
  <c r="A23" i="6"/>
  <c r="C23" i="6"/>
  <c r="D23" i="6"/>
  <c r="D84" i="3"/>
  <c r="B68" i="3"/>
  <c r="D68" i="3"/>
  <c r="C38" i="3"/>
  <c r="J11" i="6"/>
  <c r="G22" i="6"/>
  <c r="F22" i="6"/>
  <c r="A22" i="6"/>
  <c r="H25" i="6"/>
  <c r="I25" i="6"/>
  <c r="C25" i="6"/>
  <c r="D25" i="6"/>
  <c r="W99" i="3"/>
  <c r="W92" i="3"/>
  <c r="W93" i="3"/>
  <c r="W94" i="3"/>
  <c r="W95" i="3"/>
  <c r="W96" i="3"/>
  <c r="W97" i="3"/>
  <c r="W98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69" i="3"/>
  <c r="M57" i="6"/>
  <c r="D35" i="3"/>
  <c r="D34" i="3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C22" i="6"/>
  <c r="D22" i="6"/>
  <c r="B10" i="3"/>
  <c r="J17" i="4"/>
  <c r="H7" i="4"/>
  <c r="H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E6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3" i="6"/>
  <c r="M55" i="6"/>
  <c r="M56" i="6"/>
  <c r="M58" i="6"/>
  <c r="M59" i="6"/>
  <c r="M60" i="6"/>
  <c r="M61" i="6"/>
  <c r="M62" i="6"/>
  <c r="M63" i="6"/>
  <c r="M35" i="6"/>
  <c r="B11" i="6"/>
  <c r="K25" i="6"/>
  <c r="K21" i="6"/>
  <c r="K29" i="6"/>
  <c r="K30" i="6"/>
  <c r="K20" i="6"/>
  <c r="K24" i="6"/>
  <c r="L26" i="6"/>
  <c r="A17" i="6"/>
  <c r="A15" i="6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F83" i="6"/>
  <c r="G83" i="6"/>
  <c r="A19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A84" i="6"/>
  <c r="C84" i="6"/>
  <c r="A85" i="6"/>
  <c r="C85" i="6"/>
  <c r="A86" i="6"/>
  <c r="C86" i="6"/>
  <c r="A87" i="6"/>
  <c r="C87" i="6"/>
  <c r="A88" i="6"/>
  <c r="C88" i="6"/>
  <c r="A89" i="6"/>
  <c r="C89" i="6"/>
  <c r="A90" i="6"/>
  <c r="C90" i="6"/>
  <c r="A91" i="6"/>
  <c r="C91" i="6"/>
  <c r="A92" i="6"/>
  <c r="C92" i="6"/>
  <c r="A93" i="6"/>
  <c r="C93" i="6"/>
  <c r="A94" i="6"/>
  <c r="C94" i="6"/>
  <c r="A95" i="6"/>
  <c r="C95" i="6"/>
  <c r="A96" i="6"/>
  <c r="C96" i="6"/>
  <c r="A97" i="6"/>
  <c r="C97" i="6"/>
  <c r="A98" i="6"/>
  <c r="C98" i="6"/>
  <c r="A99" i="6"/>
  <c r="C99" i="6"/>
  <c r="A100" i="6"/>
  <c r="C100" i="6"/>
  <c r="A101" i="6"/>
  <c r="C101" i="6"/>
  <c r="C31" i="6"/>
  <c r="G13" i="6"/>
  <c r="B19" i="3"/>
  <c r="B20" i="3"/>
  <c r="H22" i="6"/>
  <c r="I22" i="6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31" i="6"/>
  <c r="D97" i="6"/>
  <c r="G97" i="6"/>
  <c r="H97" i="6"/>
  <c r="I97" i="6"/>
  <c r="D98" i="6"/>
  <c r="G98" i="6"/>
  <c r="H98" i="6"/>
  <c r="I98" i="6"/>
  <c r="D99" i="6"/>
  <c r="G99" i="6"/>
  <c r="H99" i="6"/>
  <c r="I99" i="6"/>
  <c r="D100" i="6"/>
  <c r="G100" i="6"/>
  <c r="H100" i="6"/>
  <c r="I100" i="6"/>
  <c r="D101" i="6"/>
  <c r="G101" i="6"/>
  <c r="H101" i="6"/>
  <c r="I101" i="6"/>
  <c r="A81" i="7"/>
  <c r="A82" i="7"/>
  <c r="A83" i="7"/>
  <c r="A84" i="7"/>
  <c r="A85" i="7"/>
  <c r="A86" i="7"/>
  <c r="A87" i="7"/>
  <c r="A88" i="7"/>
  <c r="H4" i="7"/>
  <c r="H6" i="7"/>
  <c r="H8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7" i="7"/>
  <c r="D5" i="7"/>
  <c r="D4" i="7"/>
  <c r="J22" i="4"/>
  <c r="J21" i="4"/>
  <c r="J20" i="4"/>
  <c r="J19" i="4"/>
  <c r="J18" i="4"/>
  <c r="L22" i="4"/>
  <c r="H3" i="6"/>
  <c r="G7" i="6"/>
  <c r="D92" i="6"/>
  <c r="G92" i="6"/>
  <c r="H92" i="6"/>
  <c r="I92" i="6"/>
  <c r="D93" i="6"/>
  <c r="G93" i="6"/>
  <c r="H93" i="6"/>
  <c r="I93" i="6"/>
  <c r="D94" i="6"/>
  <c r="G94" i="6"/>
  <c r="H94" i="6"/>
  <c r="I94" i="6"/>
  <c r="D95" i="6"/>
  <c r="G95" i="6"/>
  <c r="H95" i="6"/>
  <c r="I95" i="6"/>
  <c r="D96" i="6"/>
  <c r="G96" i="6"/>
  <c r="H96" i="6"/>
  <c r="I96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20" i="6"/>
  <c r="H8" i="6"/>
  <c r="D83" i="6"/>
  <c r="H83" i="6"/>
  <c r="I83" i="6"/>
  <c r="D84" i="6"/>
  <c r="G84" i="6"/>
  <c r="H84" i="6"/>
  <c r="I84" i="6"/>
  <c r="D85" i="6"/>
  <c r="G85" i="6"/>
  <c r="H85" i="6"/>
  <c r="I85" i="6"/>
  <c r="D86" i="6"/>
  <c r="G86" i="6"/>
  <c r="H86" i="6"/>
  <c r="I86" i="6"/>
  <c r="D87" i="6"/>
  <c r="G87" i="6"/>
  <c r="H87" i="6"/>
  <c r="I87" i="6"/>
  <c r="D88" i="6"/>
  <c r="G88" i="6"/>
  <c r="H88" i="6"/>
  <c r="I88" i="6"/>
  <c r="D89" i="6"/>
  <c r="G89" i="6"/>
  <c r="H89" i="6"/>
  <c r="I89" i="6"/>
  <c r="D90" i="6"/>
  <c r="G90" i="6"/>
  <c r="H90" i="6"/>
  <c r="I90" i="6"/>
  <c r="D91" i="6"/>
  <c r="G91" i="6"/>
  <c r="H91" i="6"/>
  <c r="I91" i="6"/>
  <c r="D56" i="6"/>
  <c r="G56" i="6"/>
  <c r="H56" i="6"/>
  <c r="I56" i="6"/>
  <c r="D57" i="6"/>
  <c r="G57" i="6"/>
  <c r="H57" i="6"/>
  <c r="I57" i="6"/>
  <c r="D58" i="6"/>
  <c r="G58" i="6"/>
  <c r="H58" i="6"/>
  <c r="I58" i="6"/>
  <c r="D59" i="6"/>
  <c r="G59" i="6"/>
  <c r="H59" i="6"/>
  <c r="I59" i="6"/>
  <c r="D60" i="6"/>
  <c r="G60" i="6"/>
  <c r="H60" i="6"/>
  <c r="I60" i="6"/>
  <c r="D61" i="6"/>
  <c r="G61" i="6"/>
  <c r="H61" i="6"/>
  <c r="I61" i="6"/>
  <c r="D62" i="6"/>
  <c r="G62" i="6"/>
  <c r="H62" i="6"/>
  <c r="I62" i="6"/>
  <c r="D63" i="6"/>
  <c r="G63" i="6"/>
  <c r="H63" i="6"/>
  <c r="I63" i="6"/>
  <c r="D64" i="6"/>
  <c r="G64" i="6"/>
  <c r="H64" i="6"/>
  <c r="I64" i="6"/>
  <c r="D65" i="6"/>
  <c r="G65" i="6"/>
  <c r="H65" i="6"/>
  <c r="I65" i="6"/>
  <c r="D66" i="6"/>
  <c r="G66" i="6"/>
  <c r="H66" i="6"/>
  <c r="I66" i="6"/>
  <c r="D67" i="6"/>
  <c r="G67" i="6"/>
  <c r="H67" i="6"/>
  <c r="I67" i="6"/>
  <c r="D68" i="6"/>
  <c r="G68" i="6"/>
  <c r="H68" i="6"/>
  <c r="I68" i="6"/>
  <c r="D69" i="6"/>
  <c r="G69" i="6"/>
  <c r="H69" i="6"/>
  <c r="I69" i="6"/>
  <c r="D70" i="6"/>
  <c r="G70" i="6"/>
  <c r="H70" i="6"/>
  <c r="I70" i="6"/>
  <c r="D71" i="6"/>
  <c r="G71" i="6"/>
  <c r="H71" i="6"/>
  <c r="I71" i="6"/>
  <c r="D72" i="6"/>
  <c r="G72" i="6"/>
  <c r="H72" i="6"/>
  <c r="I72" i="6"/>
  <c r="D73" i="6"/>
  <c r="G73" i="6"/>
  <c r="H73" i="6"/>
  <c r="I73" i="6"/>
  <c r="D74" i="6"/>
  <c r="G74" i="6"/>
  <c r="H74" i="6"/>
  <c r="I74" i="6"/>
  <c r="D75" i="6"/>
  <c r="G75" i="6"/>
  <c r="H75" i="6"/>
  <c r="I75" i="6"/>
  <c r="D76" i="6"/>
  <c r="G76" i="6"/>
  <c r="H76" i="6"/>
  <c r="I76" i="6"/>
  <c r="D77" i="6"/>
  <c r="G77" i="6"/>
  <c r="H77" i="6"/>
  <c r="I77" i="6"/>
  <c r="D78" i="6"/>
  <c r="G78" i="6"/>
  <c r="H78" i="6"/>
  <c r="I78" i="6"/>
  <c r="D79" i="6"/>
  <c r="G79" i="6"/>
  <c r="H79" i="6"/>
  <c r="I79" i="6"/>
  <c r="D80" i="6"/>
  <c r="G80" i="6"/>
  <c r="H80" i="6"/>
  <c r="I80" i="6"/>
  <c r="D81" i="6"/>
  <c r="G81" i="6"/>
  <c r="H81" i="6"/>
  <c r="I81" i="6"/>
  <c r="D82" i="6"/>
  <c r="G82" i="6"/>
  <c r="H82" i="6"/>
  <c r="I82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1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7" i="5"/>
  <c r="Q37" i="5"/>
  <c r="P37" i="5"/>
  <c r="O37" i="5"/>
  <c r="N37" i="5"/>
  <c r="M37" i="5"/>
  <c r="L37" i="5"/>
  <c r="K37" i="5"/>
  <c r="J37" i="5"/>
  <c r="I37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G7" i="4"/>
  <c r="F7" i="4"/>
  <c r="E7" i="4"/>
  <c r="D7" i="4"/>
  <c r="C7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F60" i="3"/>
  <c r="F57" i="3"/>
  <c r="F58" i="3"/>
  <c r="G59" i="3"/>
  <c r="F59" i="3"/>
  <c r="G58" i="3"/>
  <c r="C57" i="3"/>
  <c r="B49" i="3"/>
  <c r="F48" i="3"/>
  <c r="B55" i="3"/>
  <c r="B48" i="3"/>
  <c r="B54" i="3"/>
  <c r="B53" i="3"/>
  <c r="B52" i="3"/>
  <c r="B18" i="3"/>
  <c r="B6" i="3"/>
  <c r="B9" i="3"/>
  <c r="B5" i="3"/>
  <c r="C5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  <c r="F40" i="3"/>
  <c r="G40" i="3"/>
  <c r="C58" i="3"/>
</calcChain>
</file>

<file path=xl/sharedStrings.xml><?xml version="1.0" encoding="utf-8"?>
<sst xmlns="http://schemas.openxmlformats.org/spreadsheetml/2006/main" count="1866" uniqueCount="709">
  <si>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</si>
  <si>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</si>
  <si>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</si>
  <si>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</si>
  <si>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</si>
  <si>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</si>
  <si>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</si>
  <si>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</si>
  <si>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</si>
  <si>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</si>
  <si>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</si>
  <si>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</si>
  <si>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</si>
  <si>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</si>
  <si>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</si>
  <si>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</si>
  <si>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</si>
  <si>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</si>
  <si>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</si>
  <si>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</si>
  <si>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</si>
  <si>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</si>
  <si>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</si>
  <si>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</si>
  <si>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</si>
  <si>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</si>
  <si>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</si>
  <si>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</si>
  <si>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</si>
  <si>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</si>
  <si>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</si>
  <si>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</si>
  <si>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</si>
  <si>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</si>
  <si>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</si>
  <si>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</si>
  <si>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</si>
  <si>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</si>
  <si>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</si>
  <si>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</si>
  <si>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</si>
  <si>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</si>
  <si>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</si>
  <si>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</si>
  <si>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</si>
  <si>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</si>
  <si>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</si>
  <si>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</si>
  <si>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</si>
  <si>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</si>
  <si>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</si>
  <si>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</si>
  <si>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</si>
  <si>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</si>
  <si>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</si>
  <si>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</si>
  <si>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</si>
  <si>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</si>
  <si>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</si>
  <si>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</si>
  <si>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</si>
  <si>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</si>
  <si>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</si>
  <si>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</si>
  <si>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</si>
  <si>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</si>
  <si>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</si>
  <si>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</si>
  <si>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</si>
  <si>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</si>
  <si>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</si>
  <si>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</si>
  <si>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</si>
  <si>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</si>
  <si>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</si>
  <si>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</si>
  <si>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</si>
  <si>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</si>
  <si>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</si>
  <si>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</si>
  <si>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</si>
  <si>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</si>
  <si>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</si>
  <si>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</si>
  <si>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</si>
  <si>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</si>
  <si>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</si>
  <si>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</si>
  <si>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</si>
  <si>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</si>
  <si>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</si>
  <si>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</si>
  <si>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</si>
  <si>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</si>
  <si>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</si>
  <si>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</si>
  <si>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</si>
  <si>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</si>
  <si>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</si>
  <si>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</si>
  <si>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</si>
  <si>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</si>
  <si>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</si>
  <si>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</si>
  <si>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</si>
  <si>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</si>
  <si>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</si>
  <si>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</si>
  <si>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</si>
  <si>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</si>
  <si>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</si>
  <si>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</si>
  <si>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</si>
  <si>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</si>
  <si>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</si>
  <si>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</si>
  <si>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</si>
  <si>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</si>
  <si>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</si>
  <si>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</si>
  <si>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</si>
  <si>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</si>
  <si>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</si>
  <si>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</si>
  <si>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</si>
  <si>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</si>
  <si>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</si>
  <si>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</si>
  <si>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</si>
  <si>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</si>
  <si>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</si>
  <si>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</si>
  <si>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</si>
  <si>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</si>
  <si>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</si>
  <si>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</si>
  <si>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</si>
  <si>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</si>
  <si>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</si>
  <si>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</si>
  <si>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</si>
  <si>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</si>
  <si>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</si>
  <si>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</si>
  <si>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</si>
  <si>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</si>
  <si>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</si>
  <si>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</si>
  <si>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</si>
  <si>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</si>
  <si>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</si>
  <si>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</si>
  <si>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</si>
  <si>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</si>
  <si>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</si>
  <si>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</si>
  <si>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</si>
  <si>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</si>
  <si>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</si>
  <si>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</si>
  <si>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</si>
  <si>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</si>
  <si>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</si>
  <si>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</si>
  <si>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</si>
  <si>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</si>
  <si>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</si>
  <si>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</si>
  <si>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</si>
  <si>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</si>
  <si>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</si>
  <si>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</si>
  <si>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</si>
  <si>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</si>
  <si>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</si>
  <si>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</si>
  <si>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</si>
  <si>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</si>
  <si>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</si>
  <si>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</si>
  <si>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</si>
  <si>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</si>
  <si>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</si>
  <si>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</si>
  <si>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</si>
  <si>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</si>
  <si>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</si>
  <si>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</si>
  <si>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</si>
  <si>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</si>
  <si>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</si>
  <si>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</si>
  <si>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</si>
  <si>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</si>
  <si>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</si>
  <si>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</si>
  <si>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</si>
  <si>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</si>
  <si>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</si>
  <si>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</si>
  <si>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</si>
  <si>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</si>
  <si>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</si>
  <si>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</si>
  <si>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</si>
  <si>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</si>
  <si>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</si>
  <si>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</si>
  <si>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</si>
  <si>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</si>
  <si>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</si>
  <si>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</si>
  <si>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</si>
  <si>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</si>
  <si>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</si>
  <si>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</si>
  <si>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</si>
  <si>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</si>
  <si>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</si>
  <si>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</si>
  <si>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</si>
  <si>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</si>
  <si>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</si>
  <si>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</si>
  <si>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</si>
  <si>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</si>
  <si>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</si>
  <si>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</si>
  <si>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</si>
  <si>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</si>
  <si>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</si>
  <si>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</si>
  <si>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</si>
  <si>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</si>
  <si>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</si>
  <si>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</si>
  <si>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</si>
  <si>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</si>
  <si>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</si>
  <si>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</si>
  <si>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</si>
  <si>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</si>
  <si>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</si>
  <si>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</si>
  <si>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</si>
  <si>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</si>
  <si>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</si>
  <si>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</si>
  <si>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</si>
  <si>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</si>
  <si>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</si>
  <si>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</si>
  <si>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</si>
  <si>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</si>
  <si>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</si>
  <si>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</si>
  <si>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</si>
  <si>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</si>
  <si>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</si>
  <si>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</si>
  <si>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</si>
  <si>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</si>
  <si>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</si>
  <si>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</si>
  <si>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</si>
  <si>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</si>
  <si>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</si>
  <si>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</si>
  <si>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</si>
  <si>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</si>
  <si>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</si>
  <si>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</si>
  <si>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</si>
  <si>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</si>
  <si>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</si>
  <si>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</si>
  <si>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</si>
  <si>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</si>
  <si>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</si>
  <si>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</si>
  <si>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</si>
  <si>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</si>
  <si>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</si>
  <si>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</si>
  <si>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</si>
  <si>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</si>
  <si>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</si>
  <si>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</si>
  <si>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</si>
  <si>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</si>
  <si>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</si>
  <si>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</si>
  <si>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</si>
  <si>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</si>
  <si>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</si>
  <si>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</si>
  <si>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</si>
  <si>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</si>
  <si>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</si>
  <si>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</si>
  <si>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</si>
  <si>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</si>
  <si>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</si>
  <si>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</si>
  <si>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</si>
  <si>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</si>
  <si>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</si>
  <si>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</si>
  <si>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</si>
  <si>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</si>
  <si>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</si>
  <si>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</si>
  <si>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</si>
  <si>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</si>
  <si>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</si>
  <si>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</si>
  <si>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</si>
  <si>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</si>
  <si>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</si>
  <si>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</si>
  <si>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</si>
  <si>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</si>
  <si>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</si>
  <si>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</si>
  <si>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</si>
  <si>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</si>
  <si>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</si>
  <si>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</si>
  <si>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</si>
  <si>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</si>
  <si>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</si>
  <si>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</si>
  <si>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</si>
  <si>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</si>
  <si>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</si>
  <si>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</si>
  <si>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</si>
  <si>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</si>
  <si>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</si>
  <si>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</si>
  <si>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</si>
  <si>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</si>
  <si>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</si>
  <si>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</si>
  <si>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</si>
  <si>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</si>
  <si>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</si>
  <si>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</si>
  <si>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</si>
  <si>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</si>
  <si>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</si>
  <si>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</si>
  <si>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</si>
  <si>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</si>
  <si>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</si>
  <si>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</si>
  <si>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</si>
  <si>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</si>
  <si>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</si>
  <si>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</si>
  <si>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</si>
  <si>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</si>
  <si>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</si>
  <si>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</si>
  <si>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</si>
  <si>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</si>
  <si>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</si>
  <si>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</si>
  <si>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</si>
  <si>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</si>
  <si>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</si>
  <si>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</si>
  <si>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</si>
  <si>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</si>
  <si>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</si>
  <si>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</si>
  <si>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</si>
  <si>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</si>
  <si>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</si>
  <si>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</si>
  <si>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</si>
  <si>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</si>
  <si>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</si>
  <si>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</si>
  <si>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</si>
  <si>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</si>
  <si>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</si>
  <si>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</si>
  <si>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</si>
  <si>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</si>
  <si>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</si>
  <si>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</si>
  <si>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</si>
  <si>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</si>
  <si>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</si>
  <si>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</si>
  <si>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</si>
  <si>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</si>
  <si>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</si>
  <si>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</si>
  <si>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</si>
  <si>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</si>
  <si>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</si>
  <si>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</si>
  <si>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</si>
  <si>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</si>
  <si>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</si>
  <si>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</si>
  <si>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</si>
  <si>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</si>
  <si>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</si>
  <si>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</si>
  <si>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</si>
  <si>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</si>
  <si>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</si>
  <si>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</si>
  <si>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</si>
  <si>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</si>
  <si>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</si>
  <si>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</si>
  <si>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</si>
  <si>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</si>
  <si>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</si>
  <si>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</si>
  <si>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</si>
  <si>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</si>
  <si>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</si>
  <si>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</si>
  <si>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</si>
  <si>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</si>
  <si>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</si>
  <si>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</si>
  <si>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</si>
  <si>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</si>
  <si>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</si>
  <si>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</si>
  <si>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</si>
  <si>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</si>
  <si>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</si>
  <si>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</si>
  <si>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</si>
  <si>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</si>
  <si>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</si>
  <si>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</si>
  <si>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</si>
  <si>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</si>
  <si>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</si>
  <si>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</si>
  <si>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</si>
  <si>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</si>
  <si>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</si>
  <si>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</si>
  <si>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</si>
  <si>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</si>
  <si>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</si>
  <si>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</si>
  <si>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</si>
  <si>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</si>
  <si>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</si>
  <si>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</si>
  <si>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</si>
  <si>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</si>
  <si>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</si>
  <si>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</si>
  <si>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</si>
  <si>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</si>
  <si>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</si>
  <si>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</si>
  <si>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</si>
  <si>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</si>
  <si>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</si>
  <si>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</si>
  <si>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</si>
  <si>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</si>
  <si>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</si>
  <si>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</si>
  <si>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</si>
  <si>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</si>
  <si>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</si>
  <si>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</si>
  <si>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</si>
  <si>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</si>
  <si>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</si>
  <si>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</si>
  <si>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</si>
  <si>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</si>
  <si>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</si>
  <si>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</si>
  <si>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</si>
  <si>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</si>
  <si>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</si>
  <si>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</si>
  <si>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</si>
  <si>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</si>
  <si>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</si>
  <si>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</si>
  <si>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</si>
  <si>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</si>
  <si>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</si>
  <si>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</si>
  <si>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</si>
  <si>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</si>
  <si>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</si>
  <si>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</si>
  <si>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</si>
  <si>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</si>
  <si>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</si>
  <si>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</si>
  <si>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</si>
  <si>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</si>
  <si>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</si>
  <si>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</si>
  <si>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</si>
  <si>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</si>
  <si>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</si>
  <si>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</si>
  <si>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</si>
  <si>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</si>
  <si>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</si>
  <si>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</si>
  <si>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</si>
  <si>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</si>
  <si>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</si>
  <si>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</si>
  <si>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</si>
  <si>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</si>
  <si>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</si>
  <si>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</si>
  <si>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</si>
  <si>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</si>
  <si>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</si>
  <si>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</si>
  <si>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</si>
  <si>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</si>
  <si>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</si>
  <si>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</si>
  <si>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</si>
  <si>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</si>
  <si>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</si>
  <si>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</si>
  <si>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</si>
  <si>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</si>
  <si>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</si>
  <si>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</si>
  <si>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</si>
  <si>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</si>
  <si>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</si>
  <si>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</si>
  <si>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</si>
  <si>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</si>
  <si>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</si>
  <si>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</si>
  <si>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</si>
  <si>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</si>
  <si>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</si>
  <si>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</si>
  <si>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</si>
  <si>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</si>
  <si>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</si>
  <si>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</si>
  <si>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</si>
  <si>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</si>
  <si>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</si>
  <si>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</si>
  <si>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</si>
  <si>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</si>
  <si>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</si>
  <si>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</si>
  <si>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</si>
  <si>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</si>
  <si>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</si>
  <si>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</si>
  <si>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</si>
  <si>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</si>
  <si>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</si>
  <si>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</si>
  <si>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</si>
  <si>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</si>
  <si>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</si>
  <si>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</si>
  <si>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</si>
  <si>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</si>
  <si>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</si>
  <si>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</si>
  <si>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</si>
  <si>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</si>
  <si>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</si>
  <si>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</si>
  <si>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</si>
  <si>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</si>
  <si>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</si>
  <si>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</si>
  <si>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</si>
  <si>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</si>
  <si>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</si>
  <si>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</si>
  <si>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</si>
  <si>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</si>
  <si>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</si>
  <si>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</si>
  <si>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</si>
  <si>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</si>
  <si>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</si>
  <si>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</si>
  <si>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</si>
  <si>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</si>
  <si>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</si>
  <si>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</si>
  <si>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</si>
  <si>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</si>
  <si>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</si>
  <si>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</si>
  <si>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</si>
  <si>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</si>
  <si>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</si>
  <si>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</si>
  <si>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</si>
  <si>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</si>
  <si>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</si>
  <si>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</si>
  <si>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</si>
  <si>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</si>
  <si>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</si>
  <si>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</si>
  <si>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</si>
  <si>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</si>
  <si>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</si>
  <si>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</si>
  <si>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</si>
  <si>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</si>
  <si>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t>Mod 26/30 Vent, Annular Boosters, Progressive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</si>
  <si>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</si>
  <si>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</si>
  <si>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</si>
  <si>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Engine Math</t>
  </si>
  <si>
    <t>How to Build Horsepower</t>
  </si>
  <si>
    <t>How to Port &amp; Flow Cylinder Heads</t>
  </si>
  <si>
    <t>VW Boxster</t>
  </si>
  <si>
    <t>IOP Flow program</t>
  </si>
  <si>
    <t>PipeMax</t>
  </si>
  <si>
    <t>Links:</t>
  </si>
  <si>
    <t>MotoIQ</t>
  </si>
  <si>
    <t xml:space="preserve"> Displacement Calculator, Table, Protractor, Valve Timings &amp; Sizing</t>
  </si>
  <si>
    <t>📓</t>
  </si>
  <si>
    <t>K</t>
  </si>
  <si>
    <t>LCA Formula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</si>
  <si>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</si>
  <si>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Other</t>
  </si>
  <si>
    <t>Configurations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</si>
  <si>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</si>
  <si>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88×82</t>
  </si>
  <si>
    <t>86×86</t>
  </si>
  <si>
    <t>92×86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</si>
  <si>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</si>
  <si>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</si>
  <si>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With higher compression ceramic coated insulated combustion chambers are highly recomended.</t>
  </si>
  <si>
    <t>CR</t>
  </si>
  <si>
    <t>K - (Cyl.CID ÷ ValveDia. × 0.91)</t>
  </si>
  <si>
    <t>Small Block Chevy</t>
  </si>
  <si>
    <t xml:space="preserve"> Test</t>
  </si>
  <si>
    <t xml:space="preserve">Graph </t>
  </si>
  <si>
    <t>Try Me</t>
  </si>
  <si>
    <t>5 Cylinder</t>
  </si>
  <si>
    <t xml:space="preserve">    Finding the right value for the head design is important.</t>
  </si>
  <si>
    <t>14 to 10</t>
  </si>
  <si>
    <t>20 to 14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</si>
  <si>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</si>
  <si>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</si>
  <si>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</si>
  <si>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</si>
  <si>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</si>
  <si>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t>Chamber cc ÷ Intake Throat Dia."</t>
  </si>
  <si>
    <t>Let CDTD = Chamber cc ÷ Intake Throat Dia.</t>
  </si>
  <si>
    <t xml:space="preserve">       20 to 14 Compensation</t>
  </si>
  <si>
    <t xml:space="preserve">14 to 10 Compensation     </t>
  </si>
  <si>
    <t xml:space="preserve"> LSA=LCA when the cam is timed straight up, no advance/retard.</t>
  </si>
  <si>
    <t>This equation has been tuned to follow the graph exactly within ±⅛° (above right).</t>
  </si>
  <si>
    <t>How to Build Horespower</t>
  </si>
  <si>
    <t>Graph Data From:</t>
  </si>
  <si>
    <t>CR Comp</t>
  </si>
  <si>
    <t>× VE Factor (Max)</t>
  </si>
  <si>
    <t>Head Vol.</t>
  </si>
  <si>
    <t>ft/lbs  Max.Torque</t>
  </si>
  <si>
    <t>CR (8-18) vs. Tq/Cube (Max)</t>
  </si>
  <si>
    <t>17x6 Rims</t>
  </si>
  <si>
    <t>195/55R17,  25.4x7.7</t>
  </si>
  <si>
    <t>Both</t>
  </si>
  <si>
    <t>195/60R16,  25.2x7.7</t>
  </si>
  <si>
    <t>205/65R15, 25.5x8.1</t>
  </si>
  <si>
    <t xml:space="preserve"> 15x6 Rims</t>
  </si>
  <si>
    <t>OEM</t>
  </si>
  <si>
    <t>MCA Redux</t>
  </si>
  <si>
    <t>Stock 30 Vent, BMW 2002, Choke Out</t>
  </si>
  <si>
    <t>Solex 36/40 PDSI</t>
  </si>
  <si>
    <t>EngineRPM</t>
  </si>
  <si>
    <t>MPH</t>
  </si>
  <si>
    <t>WheelRPM</t>
  </si>
  <si>
    <t>Aisin 21100-35463  32/40</t>
  </si>
  <si>
    <t>26/40 Vent, 1985+ 22R (Toyota Hilux/Truck)</t>
  </si>
  <si>
    <t>-1.5 / 0</t>
  </si>
  <si>
    <t>Custom</t>
  </si>
  <si>
    <t>Cyl.Vol.</t>
  </si>
  <si>
    <t>Total Port Vol. / Cyl.Vol. = 92% to 95%</t>
  </si>
  <si>
    <t>&lt;-- 58.2mm Bore = 660cc</t>
  </si>
  <si>
    <t>Correct Horn Volume Requires the Proper Summation Range be Set, Located @ Cells i51 &amp; i52.</t>
  </si>
  <si>
    <t>Kei Car</t>
  </si>
  <si>
    <t>281 / 244</t>
  </si>
  <si>
    <t>750cc L4Cyl - Al6Mg½Sc Head &amp; Block</t>
  </si>
  <si>
    <t>Throat ÷ Valve  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</si>
</sst>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#\ ?/9"/>
  </numFmts>
  <fonts count="87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sz val="12"/>
      <color theme="1" tint="0.499984740745262"/>
      <name val="Arial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sz val="14"/>
      <color rgb="FFFF0000"/>
      <name val="Arial"/>
    </font>
    <font>
      <b/>
      <i/>
      <sz val="14"/>
      <color rgb="FFFF0000"/>
      <name val="Bookman Old Style"/>
    </font>
    <font>
      <b/>
      <sz val="14"/>
      <color rgb="FF800000"/>
      <name val="Arial"/>
    </font>
    <font>
      <sz val="14"/>
      <color rgb="FF0000FF"/>
      <name val="Sans"/>
    </font>
    <font>
      <b/>
      <sz val="14"/>
      <color rgb="FF0000FF"/>
      <name val="Arial"/>
    </font>
    <font>
      <sz val="10"/>
      <color rgb="FF0000FF"/>
      <name val="Arial"/>
    </font>
    <font>
      <b/>
      <sz val="20"/>
      <color rgb="FFCD001C"/>
      <name val="Arial"/>
    </font>
    <font>
      <sz val="18"/>
      <color theme="10"/>
      <name val="Sans"/>
    </font>
    <font>
      <b/>
      <sz val="16"/>
      <color rgb="FF0000FF"/>
      <name val="Arial"/>
    </font>
    <font>
      <i/>
      <sz val="10"/>
      <color indexed="8"/>
      <name val="Arial"/>
    </font>
    <font>
      <b/>
      <sz val="12"/>
      <color rgb="FFC01330"/>
      <name val="Arial"/>
    </font>
    <font>
      <b/>
      <sz val="14"/>
      <color rgb="FF3366FF"/>
      <name val="Arial"/>
    </font>
    <font>
      <sz val="12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1.5"/>
      <color rgb="FFC01330"/>
      <name val="Arial"/>
    </font>
    <font>
      <b/>
      <sz val="14"/>
      <color rgb="FFC01330"/>
      <name val="MS Reference Sans Serif"/>
    </font>
    <font>
      <b/>
      <sz val="14"/>
      <color rgb="FF000000"/>
      <name val="Arial"/>
    </font>
    <font>
      <b/>
      <sz val="10"/>
      <color indexed="8"/>
      <name val="Arial"/>
    </font>
    <font>
      <b/>
      <sz val="12"/>
      <color rgb="FF6A00FF"/>
      <name val="Arial"/>
    </font>
    <font>
      <sz val="14"/>
      <color theme="1" tint="0.499984740745262"/>
      <name val="Arial"/>
    </font>
    <font>
      <sz val="11"/>
      <color indexed="8"/>
      <name val="Arial"/>
    </font>
    <font>
      <b/>
      <sz val="12"/>
      <color theme="5" tint="-0.499984740745262"/>
      <name val="Arial"/>
    </font>
    <font>
      <b/>
      <sz val="12"/>
      <color theme="5" tint="-0.249977111117893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  <fill>
      <patternFill patternType="solid">
        <fgColor rgb="FFFFE9ED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Dashed">
        <color theme="0" tint="-0.499984740745262"/>
      </left>
      <right style="medium">
        <color indexed="8"/>
      </right>
      <top style="medium">
        <color indexed="8"/>
      </top>
      <bottom/>
      <diagonal/>
    </border>
    <border>
      <left style="mediumDashed">
        <color theme="0" tint="-0.499984740745262"/>
      </left>
      <right style="medium">
        <color indexed="8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auto="1"/>
      </top>
      <bottom style="mediumDashed">
        <color theme="0" tint="-0.4999847407452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/>
      <top style="mediumDashed">
        <color theme="0" tint="-0.34998626667073579"/>
      </top>
      <bottom style="mediumDashed">
        <color theme="0" tint="-0.34998626667073579"/>
      </bottom>
      <diagonal/>
    </border>
    <border>
      <left/>
      <right style="mediumDashed">
        <color indexed="8"/>
      </right>
      <top style="medium">
        <color indexed="8"/>
      </top>
      <bottom/>
      <diagonal/>
    </border>
    <border>
      <left/>
      <right style="mediumDashed">
        <color indexed="8"/>
      </right>
      <top/>
      <bottom/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27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5" fontId="15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center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6" fillId="0" borderId="4" xfId="0" applyNumberFormat="1" applyFont="1" applyFill="1" applyBorder="1" applyAlignment="1" applyProtection="1">
      <alignment horizontal="center"/>
    </xf>
    <xf numFmtId="2" fontId="26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3" fillId="0" borderId="0" xfId="0" applyFont="1"/>
    <xf numFmtId="0" fontId="2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1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/>
    <xf numFmtId="0" fontId="33" fillId="0" borderId="16" xfId="0" applyFont="1" applyBorder="1"/>
    <xf numFmtId="0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Alignment="1" applyProtection="1">
      <alignment horizontal="center"/>
    </xf>
    <xf numFmtId="0" fontId="23" fillId="2" borderId="0" xfId="0" applyFont="1" applyFill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quotePrefix="1" applyFont="1"/>
    <xf numFmtId="165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8" fillId="0" borderId="0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34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39" fillId="0" borderId="0" xfId="7" applyFont="1" applyAlignment="1">
      <alignment horizontal="center"/>
    </xf>
    <xf numFmtId="0" fontId="40" fillId="0" borderId="0" xfId="7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7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3" fillId="0" borderId="0" xfId="0" applyFont="1"/>
    <xf numFmtId="0" fontId="24" fillId="0" borderId="24" xfId="0" applyFont="1" applyBorder="1"/>
    <xf numFmtId="1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6" fillId="0" borderId="0" xfId="0" applyNumberFormat="1" applyFont="1"/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29" fillId="0" borderId="0" xfId="0" applyFont="1"/>
    <xf numFmtId="0" fontId="47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>
      <alignment horizontal="center"/>
    </xf>
    <xf numFmtId="1" fontId="48" fillId="0" borderId="0" xfId="0" applyNumberFormat="1" applyFont="1" applyFill="1" applyBorder="1" applyAlignment="1" applyProtection="1">
      <alignment horizontal="center"/>
    </xf>
    <xf numFmtId="164" fontId="48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/>
    <xf numFmtId="1" fontId="48" fillId="0" borderId="7" xfId="0" applyNumberFormat="1" applyFont="1" applyFill="1" applyBorder="1" applyAlignment="1" applyProtection="1">
      <alignment horizontal="center"/>
    </xf>
    <xf numFmtId="0" fontId="48" fillId="0" borderId="2" xfId="0" applyFont="1" applyBorder="1"/>
    <xf numFmtId="0" fontId="49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164" fontId="48" fillId="0" borderId="0" xfId="0" applyNumberFormat="1" applyFont="1" applyAlignment="1">
      <alignment horizontal="center"/>
    </xf>
    <xf numFmtId="0" fontId="51" fillId="0" borderId="30" xfId="0" applyNumberFormat="1" applyFont="1" applyFill="1" applyBorder="1" applyAlignment="1" applyProtection="1">
      <alignment horizontal="center"/>
    </xf>
    <xf numFmtId="0" fontId="52" fillId="0" borderId="30" xfId="0" applyNumberFormat="1" applyFont="1" applyFill="1" applyBorder="1" applyAlignment="1" applyProtection="1">
      <alignment horizontal="center"/>
    </xf>
    <xf numFmtId="0" fontId="52" fillId="0" borderId="30" xfId="0" applyNumberFormat="1" applyFont="1" applyFill="1" applyBorder="1" applyAlignment="1" applyProtection="1">
      <alignment horizontal="left"/>
    </xf>
    <xf numFmtId="0" fontId="52" fillId="0" borderId="0" xfId="0" applyNumberFormat="1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 applyProtection="1">
      <alignment horizontal="center"/>
    </xf>
    <xf numFmtId="164" fontId="52" fillId="0" borderId="0" xfId="0" applyNumberFormat="1" applyFont="1" applyFill="1" applyBorder="1" applyAlignment="1" applyProtection="1">
      <alignment horizontal="center"/>
    </xf>
    <xf numFmtId="0" fontId="54" fillId="0" borderId="0" xfId="0" applyFont="1" applyAlignment="1">
      <alignment horizontal="center"/>
    </xf>
    <xf numFmtId="165" fontId="52" fillId="0" borderId="0" xfId="0" applyNumberFormat="1" applyFont="1" applyAlignment="1">
      <alignment horizontal="center"/>
    </xf>
    <xf numFmtId="164" fontId="52" fillId="0" borderId="0" xfId="0" applyNumberFormat="1" applyFont="1" applyAlignment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2" fillId="0" borderId="8" xfId="0" applyNumberFormat="1" applyFont="1" applyBorder="1" applyAlignment="1">
      <alignment horizontal="center"/>
    </xf>
    <xf numFmtId="0" fontId="52" fillId="0" borderId="1" xfId="0" applyFont="1" applyBorder="1"/>
    <xf numFmtId="0" fontId="3" fillId="0" borderId="1" xfId="0" applyFont="1" applyBorder="1"/>
    <xf numFmtId="0" fontId="55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4" fillId="0" borderId="36" xfId="0" applyNumberFormat="1" applyFont="1" applyFill="1" applyBorder="1" applyAlignment="1" applyProtection="1">
      <alignment horizontal="center"/>
    </xf>
    <xf numFmtId="164" fontId="44" fillId="0" borderId="37" xfId="0" applyNumberFormat="1" applyFont="1" applyFill="1" applyBorder="1" applyAlignment="1" applyProtection="1">
      <alignment horizontal="center"/>
    </xf>
    <xf numFmtId="0" fontId="22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6" fillId="0" borderId="2" xfId="0" applyNumberFormat="1" applyFont="1" applyFill="1" applyBorder="1" applyAlignment="1" applyProtection="1">
      <alignment horizontal="center"/>
    </xf>
    <xf numFmtId="164" fontId="52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7" fillId="0" borderId="0" xfId="0" quotePrefix="1" applyNumberFormat="1" applyFont="1" applyFill="1" applyBorder="1" applyAlignment="1" applyProtection="1">
      <alignment horizontal="left"/>
    </xf>
    <xf numFmtId="168" fontId="48" fillId="0" borderId="0" xfId="0" applyNumberFormat="1" applyFont="1" applyFill="1" applyBorder="1" applyAlignment="1" applyProtection="1">
      <alignment horizontal="center"/>
    </xf>
    <xf numFmtId="168" fontId="52" fillId="0" borderId="0" xfId="0" applyNumberFormat="1" applyFont="1" applyFill="1" applyBorder="1" applyAlignment="1" applyProtection="1">
      <alignment horizontal="center"/>
    </xf>
    <xf numFmtId="165" fontId="55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7" fillId="0" borderId="0" xfId="0" applyNumberFormat="1" applyFont="1" applyFill="1" applyBorder="1" applyAlignment="1" applyProtection="1">
      <alignment horizontal="center"/>
    </xf>
    <xf numFmtId="164" fontId="51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1" fillId="0" borderId="49" xfId="0" applyNumberFormat="1" applyFont="1" applyFill="1" applyBorder="1" applyAlignment="1" applyProtection="1"/>
    <xf numFmtId="0" fontId="1" fillId="0" borderId="5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1" fillId="0" borderId="0" xfId="0" applyNumberFormat="1" applyFont="1" applyFill="1" applyBorder="1" applyAlignment="1" applyProtection="1">
      <alignment horizontal="left"/>
    </xf>
    <xf numFmtId="0" fontId="5" fillId="0" borderId="52" xfId="0" applyNumberFormat="1" applyFont="1" applyFill="1" applyBorder="1" applyAlignment="1" applyProtection="1"/>
    <xf numFmtId="164" fontId="21" fillId="0" borderId="52" xfId="0" applyNumberFormat="1" applyFont="1" applyFill="1" applyBorder="1" applyAlignment="1" applyProtection="1">
      <alignment horizontal="left"/>
    </xf>
    <xf numFmtId="0" fontId="5" fillId="0" borderId="52" xfId="0" applyNumberFormat="1" applyFont="1" applyFill="1" applyBorder="1" applyAlignment="1" applyProtection="1">
      <alignment horizontal="right"/>
    </xf>
    <xf numFmtId="2" fontId="3" fillId="0" borderId="52" xfId="0" applyNumberFormat="1" applyFont="1" applyFill="1" applyBorder="1" applyAlignment="1" applyProtection="1">
      <alignment horizontal="center"/>
    </xf>
    <xf numFmtId="0" fontId="1" fillId="0" borderId="53" xfId="0" applyNumberFormat="1" applyFont="1" applyFill="1" applyBorder="1" applyAlignment="1" applyProtection="1"/>
    <xf numFmtId="0" fontId="1" fillId="0" borderId="52" xfId="0" applyNumberFormat="1" applyFont="1" applyFill="1" applyBorder="1" applyAlignment="1" applyProtection="1"/>
    <xf numFmtId="0" fontId="7" fillId="0" borderId="51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0" fontId="61" fillId="0" borderId="13" xfId="0" applyNumberFormat="1" applyFont="1" applyFill="1" applyBorder="1" applyAlignment="1" applyProtection="1">
      <alignment horizontal="center"/>
    </xf>
    <xf numFmtId="0" fontId="61" fillId="0" borderId="6" xfId="0" applyNumberFormat="1" applyFont="1" applyFill="1" applyBorder="1" applyAlignment="1" applyProtection="1">
      <alignment horizontal="center"/>
    </xf>
    <xf numFmtId="0" fontId="62" fillId="0" borderId="33" xfId="0" applyNumberFormat="1" applyFont="1" applyFill="1" applyBorder="1" applyAlignment="1" applyProtection="1">
      <alignment horizontal="center"/>
    </xf>
    <xf numFmtId="0" fontId="46" fillId="0" borderId="48" xfId="0" applyNumberFormat="1" applyFont="1" applyFill="1" applyBorder="1" applyAlignment="1" applyProtection="1">
      <alignment horizontal="center"/>
    </xf>
    <xf numFmtId="164" fontId="61" fillId="0" borderId="43" xfId="0" applyNumberFormat="1" applyFont="1" applyFill="1" applyBorder="1" applyAlignment="1" applyProtection="1">
      <alignment horizontal="center"/>
    </xf>
    <xf numFmtId="165" fontId="61" fillId="0" borderId="42" xfId="0" applyNumberFormat="1" applyFont="1" applyFill="1" applyBorder="1" applyAlignment="1" applyProtection="1">
      <alignment horizontal="center"/>
    </xf>
    <xf numFmtId="0" fontId="6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right"/>
    </xf>
    <xf numFmtId="0" fontId="6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1" fillId="0" borderId="55" xfId="0" applyNumberFormat="1" applyFont="1" applyFill="1" applyBorder="1" applyAlignment="1" applyProtection="1"/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166" fontId="45" fillId="0" borderId="0" xfId="0" applyNumberFormat="1" applyFont="1" applyBorder="1" applyAlignment="1">
      <alignment horizontal="center"/>
    </xf>
    <xf numFmtId="0" fontId="66" fillId="0" borderId="0" xfId="7" applyNumberFormat="1" applyFont="1" applyFill="1" applyBorder="1" applyAlignment="1" applyProtection="1"/>
    <xf numFmtId="0" fontId="67" fillId="0" borderId="0" xfId="7" applyNumberFormat="1" applyFont="1" applyFill="1" applyBorder="1" applyAlignment="1" applyProtection="1"/>
    <xf numFmtId="0" fontId="67" fillId="0" borderId="0" xfId="7" applyFont="1"/>
    <xf numFmtId="0" fontId="67" fillId="0" borderId="0" xfId="7" applyFont="1" applyAlignment="1">
      <alignment horizontal="left"/>
    </xf>
    <xf numFmtId="0" fontId="67" fillId="0" borderId="0" xfId="7" applyFont="1" applyAlignment="1">
      <alignment horizontal="center"/>
    </xf>
    <xf numFmtId="0" fontId="68" fillId="0" borderId="0" xfId="0" applyNumberFormat="1" applyFont="1" applyFill="1" applyBorder="1" applyAlignment="1" applyProtection="1"/>
    <xf numFmtId="0" fontId="1" fillId="0" borderId="31" xfId="0" applyFont="1" applyBorder="1"/>
    <xf numFmtId="0" fontId="1" fillId="0" borderId="0" xfId="0" applyFont="1" applyBorder="1" applyAlignment="1"/>
    <xf numFmtId="0" fontId="38" fillId="0" borderId="0" xfId="7" applyFont="1"/>
    <xf numFmtId="0" fontId="70" fillId="0" borderId="0" xfId="7" applyFont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8" fillId="0" borderId="56" xfId="0" applyFont="1" applyBorder="1" applyAlignment="1">
      <alignment horizontal="left"/>
    </xf>
    <xf numFmtId="0" fontId="69" fillId="0" borderId="0" xfId="0" applyFont="1" applyAlignment="1">
      <alignment horizontal="center"/>
    </xf>
    <xf numFmtId="0" fontId="72" fillId="0" borderId="0" xfId="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>
      <alignment horizontal="center" vertical="center"/>
    </xf>
    <xf numFmtId="0" fontId="73" fillId="0" borderId="0" xfId="0" applyNumberFormat="1" applyFont="1" applyFill="1" applyBorder="1" applyAlignment="1" applyProtection="1"/>
    <xf numFmtId="0" fontId="1" fillId="0" borderId="29" xfId="0" applyFont="1" applyBorder="1"/>
    <xf numFmtId="0" fontId="5" fillId="0" borderId="5" xfId="0" applyNumberFormat="1" applyFont="1" applyFill="1" applyBorder="1" applyAlignment="1" applyProtection="1">
      <alignment horizontal="center"/>
    </xf>
    <xf numFmtId="0" fontId="71" fillId="0" borderId="5" xfId="7" applyNumberFormat="1" applyFont="1" applyFill="1" applyBorder="1" applyAlignment="1" applyProtection="1">
      <alignment horizontal="center"/>
    </xf>
    <xf numFmtId="0" fontId="74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4" fillId="0" borderId="44" xfId="0" applyNumberFormat="1" applyFont="1" applyFill="1" applyBorder="1" applyAlignment="1" applyProtection="1">
      <alignment horizontal="center"/>
    </xf>
    <xf numFmtId="0" fontId="4" fillId="0" borderId="33" xfId="0" applyNumberFormat="1" applyFont="1" applyFill="1" applyBorder="1" applyAlignment="1" applyProtection="1">
      <alignment horizontal="center"/>
    </xf>
    <xf numFmtId="0" fontId="22" fillId="0" borderId="61" xfId="0" applyNumberFormat="1" applyFont="1" applyFill="1" applyBorder="1" applyAlignment="1" applyProtection="1">
      <alignment horizontal="center"/>
    </xf>
    <xf numFmtId="0" fontId="22" fillId="0" borderId="62" xfId="0" applyNumberFormat="1" applyFont="1" applyFill="1" applyBorder="1" applyAlignment="1" applyProtection="1">
      <alignment horizontal="center"/>
    </xf>
    <xf numFmtId="0" fontId="40" fillId="0" borderId="14" xfId="7" applyNumberFormat="1" applyFont="1" applyFill="1" applyBorder="1" applyAlignment="1" applyProtection="1">
      <alignment horizontal="center"/>
    </xf>
    <xf numFmtId="0" fontId="5" fillId="0" borderId="44" xfId="0" applyNumberFormat="1" applyFont="1" applyFill="1" applyBorder="1" applyAlignment="1" applyProtection="1">
      <alignment horizontal="right"/>
    </xf>
    <xf numFmtId="0" fontId="5" fillId="0" borderId="33" xfId="0" applyNumberFormat="1" applyFont="1" applyFill="1" applyBorder="1" applyAlignment="1" applyProtection="1">
      <alignment horizontal="left"/>
    </xf>
    <xf numFmtId="0" fontId="4" fillId="0" borderId="44" xfId="0" applyNumberFormat="1" applyFont="1" applyFill="1" applyBorder="1" applyAlignment="1" applyProtection="1">
      <alignment horizontal="center"/>
    </xf>
    <xf numFmtId="0" fontId="40" fillId="0" borderId="5" xfId="7" applyNumberFormat="1" applyFont="1" applyFill="1" applyBorder="1" applyAlignment="1" applyProtection="1">
      <alignment horizontal="center"/>
    </xf>
    <xf numFmtId="0" fontId="15" fillId="0" borderId="24" xfId="0" applyFont="1" applyFill="1" applyBorder="1"/>
    <xf numFmtId="1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7" fillId="0" borderId="24" xfId="0" applyFont="1" applyFill="1" applyBorder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5" fontId="76" fillId="0" borderId="0" xfId="0" applyNumberFormat="1" applyFont="1" applyFill="1" applyBorder="1" applyAlignment="1" applyProtection="1">
      <alignment horizontal="center"/>
    </xf>
    <xf numFmtId="0" fontId="73" fillId="0" borderId="33" xfId="0" applyNumberFormat="1" applyFont="1" applyFill="1" applyBorder="1" applyAlignment="1" applyProtection="1">
      <alignment horizontal="center"/>
    </xf>
    <xf numFmtId="0" fontId="77" fillId="0" borderId="0" xfId="0" applyNumberFormat="1" applyFont="1" applyFill="1" applyBorder="1" applyAlignment="1" applyProtection="1">
      <alignment horizontal="right"/>
    </xf>
    <xf numFmtId="0" fontId="80" fillId="0" borderId="0" xfId="0" applyFont="1"/>
    <xf numFmtId="2" fontId="4" fillId="0" borderId="0" xfId="0" applyNumberFormat="1" applyFont="1" applyFill="1" applyBorder="1" applyAlignment="1" applyProtection="1">
      <alignment horizontal="center"/>
    </xf>
    <xf numFmtId="2" fontId="76" fillId="0" borderId="0" xfId="0" applyNumberFormat="1" applyFont="1" applyFill="1" applyBorder="1" applyAlignment="1" applyProtection="1">
      <alignment horizontal="center"/>
    </xf>
    <xf numFmtId="0" fontId="73" fillId="0" borderId="29" xfId="0" applyNumberFormat="1" applyFont="1" applyFill="1" applyBorder="1" applyAlignment="1" applyProtection="1">
      <alignment horizontal="left"/>
    </xf>
    <xf numFmtId="0" fontId="44" fillId="0" borderId="46" xfId="0" applyNumberFormat="1" applyFont="1" applyFill="1" applyBorder="1" applyAlignment="1" applyProtection="1"/>
    <xf numFmtId="0" fontId="3" fillId="0" borderId="64" xfId="0" applyNumberFormat="1" applyFont="1" applyFill="1" applyBorder="1" applyAlignment="1" applyProtection="1">
      <alignment horizontal="center"/>
    </xf>
    <xf numFmtId="0" fontId="1" fillId="0" borderId="42" xfId="0" applyNumberFormat="1" applyFont="1" applyFill="1" applyBorder="1" applyAlignment="1" applyProtection="1"/>
    <xf numFmtId="0" fontId="72" fillId="0" borderId="43" xfId="0" applyNumberFormat="1" applyFont="1" applyFill="1" applyBorder="1" applyAlignment="1" applyProtection="1"/>
    <xf numFmtId="0" fontId="1" fillId="0" borderId="65" xfId="0" applyNumberFormat="1" applyFont="1" applyFill="1" applyBorder="1" applyAlignment="1" applyProtection="1"/>
    <xf numFmtId="0" fontId="1" fillId="0" borderId="66" xfId="0" applyNumberFormat="1" applyFont="1" applyFill="1" applyBorder="1" applyAlignment="1" applyProtection="1"/>
    <xf numFmtId="0" fontId="7" fillId="0" borderId="67" xfId="0" applyNumberFormat="1" applyFont="1" applyFill="1" applyBorder="1" applyAlignment="1" applyProtection="1">
      <alignment horizontal="center"/>
    </xf>
    <xf numFmtId="0" fontId="7" fillId="0" borderId="54" xfId="0" applyNumberFormat="1" applyFont="1" applyFill="1" applyBorder="1" applyAlignment="1" applyProtection="1">
      <alignment horizontal="right"/>
    </xf>
    <xf numFmtId="0" fontId="1" fillId="0" borderId="68" xfId="0" applyNumberFormat="1" applyFont="1" applyFill="1" applyBorder="1" applyAlignment="1" applyProtection="1"/>
    <xf numFmtId="0" fontId="5" fillId="0" borderId="55" xfId="0" applyFont="1" applyBorder="1" applyAlignment="1">
      <alignment horizontal="center"/>
    </xf>
    <xf numFmtId="0" fontId="5" fillId="0" borderId="54" xfId="0" applyFont="1" applyBorder="1"/>
    <xf numFmtId="0" fontId="6" fillId="0" borderId="57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5" fillId="0" borderId="5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50" xfId="0" applyNumberFormat="1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3" borderId="58" xfId="0" applyNumberFormat="1" applyFont="1" applyFill="1" applyBorder="1" applyAlignment="1" applyProtection="1">
      <alignment horizontal="center"/>
    </xf>
    <xf numFmtId="0" fontId="3" fillId="4" borderId="59" xfId="0" applyNumberFormat="1" applyFont="1" applyFill="1" applyBorder="1" applyAlignment="1" applyProtection="1">
      <alignment horizontal="center"/>
    </xf>
    <xf numFmtId="0" fontId="3" fillId="4" borderId="60" xfId="0" applyNumberFormat="1" applyFont="1" applyFill="1" applyBorder="1" applyAlignment="1" applyProtection="1">
      <alignment horizontal="center"/>
    </xf>
    <xf numFmtId="165" fontId="3" fillId="0" borderId="44" xfId="0" applyNumberFormat="1" applyFont="1" applyFill="1" applyBorder="1" applyAlignment="1" applyProtection="1">
      <alignment horizontal="center"/>
    </xf>
    <xf numFmtId="0" fontId="81" fillId="0" borderId="44" xfId="0" applyNumberFormat="1" applyFont="1" applyFill="1" applyBorder="1" applyAlignment="1" applyProtection="1"/>
    <xf numFmtId="0" fontId="81" fillId="0" borderId="42" xfId="0" applyNumberFormat="1" applyFont="1" applyFill="1" applyBorder="1" applyAlignment="1" applyProtection="1"/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/>
    <xf numFmtId="0" fontId="5" fillId="0" borderId="29" xfId="0" quotePrefix="1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5" fillId="0" borderId="69" xfId="0" applyNumberFormat="1" applyFont="1" applyFill="1" applyBorder="1" applyAlignment="1" applyProtection="1">
      <alignment horizontal="center"/>
    </xf>
    <xf numFmtId="1" fontId="48" fillId="0" borderId="70" xfId="0" applyNumberFormat="1" applyFont="1" applyFill="1" applyBorder="1" applyAlignment="1" applyProtection="1">
      <alignment horizontal="center"/>
    </xf>
    <xf numFmtId="0" fontId="52" fillId="0" borderId="71" xfId="0" applyNumberFormat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" xfId="0" applyNumberFormat="1" applyFont="1" applyFill="1" applyBorder="1" applyAlignment="1" applyProtection="1">
      <alignment horizontal="left"/>
    </xf>
    <xf numFmtId="0" fontId="82" fillId="0" borderId="0" xfId="0" applyNumberFormat="1" applyFont="1" applyFill="1" applyBorder="1" applyAlignment="1" applyProtection="1"/>
    <xf numFmtId="0" fontId="81" fillId="0" borderId="0" xfId="0" applyFont="1" applyAlignment="1">
      <alignment horizontal="center"/>
    </xf>
    <xf numFmtId="0" fontId="81" fillId="0" borderId="15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72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8" fillId="0" borderId="73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74" xfId="0" applyNumberFormat="1" applyFont="1" applyFill="1" applyBorder="1" applyAlignment="1" applyProtection="1">
      <alignment horizontal="center"/>
    </xf>
    <xf numFmtId="1" fontId="3" fillId="0" borderId="75" xfId="0" applyNumberFormat="1" applyFont="1" applyBorder="1" applyAlignment="1">
      <alignment horizontal="center"/>
    </xf>
    <xf numFmtId="167" fontId="74" fillId="0" borderId="76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8" fontId="74" fillId="0" borderId="0" xfId="0" applyNumberFormat="1" applyFont="1" applyAlignment="1">
      <alignment horizontal="center"/>
    </xf>
    <xf numFmtId="169" fontId="3" fillId="0" borderId="0" xfId="0" applyNumberFormat="1" applyFont="1" applyFill="1" applyBorder="1" applyAlignment="1" applyProtection="1">
      <alignment horizontal="center"/>
    </xf>
    <xf numFmtId="12" fontId="3" fillId="0" borderId="0" xfId="0" applyNumberFormat="1" applyFont="1" applyFill="1" applyBorder="1" applyAlignment="1" applyProtection="1">
      <alignment horizontal="center"/>
    </xf>
    <xf numFmtId="0" fontId="84" fillId="0" borderId="0" xfId="0" applyNumberFormat="1" applyFont="1" applyFill="1" applyBorder="1" applyAlignment="1" applyProtection="1">
      <alignment horizontal="left"/>
    </xf>
    <xf numFmtId="0" fontId="1" fillId="0" borderId="57" xfId="0" applyFont="1" applyBorder="1"/>
    <xf numFmtId="0" fontId="75" fillId="5" borderId="24" xfId="0" applyFont="1" applyFill="1" applyBorder="1"/>
    <xf numFmtId="1" fontId="75" fillId="5" borderId="0" xfId="0" applyNumberFormat="1" applyFont="1" applyFill="1" applyBorder="1" applyAlignment="1">
      <alignment horizontal="center"/>
    </xf>
    <xf numFmtId="0" fontId="75" fillId="5" borderId="0" xfId="0" applyFont="1" applyFill="1" applyBorder="1"/>
    <xf numFmtId="0" fontId="8" fillId="5" borderId="0" xfId="0" applyFont="1" applyFill="1" applyBorder="1"/>
    <xf numFmtId="0" fontId="24" fillId="0" borderId="24" xfId="0" applyFont="1" applyFill="1" applyBorder="1"/>
    <xf numFmtId="1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83" fillId="0" borderId="0" xfId="0" applyFont="1" applyFill="1" applyBorder="1"/>
    <xf numFmtId="0" fontId="75" fillId="0" borderId="24" xfId="0" applyFont="1" applyFill="1" applyBorder="1"/>
    <xf numFmtId="1" fontId="75" fillId="0" borderId="0" xfId="0" applyNumberFormat="1" applyFont="1" applyFill="1" applyBorder="1" applyAlignment="1">
      <alignment horizontal="center"/>
    </xf>
    <xf numFmtId="0" fontId="75" fillId="0" borderId="0" xfId="0" applyFont="1" applyFill="1" applyBorder="1"/>
    <xf numFmtId="0" fontId="8" fillId="0" borderId="0" xfId="0" applyFont="1" applyFill="1" applyBorder="1"/>
    <xf numFmtId="165" fontId="27" fillId="0" borderId="6" xfId="0" applyNumberFormat="1" applyFont="1" applyFill="1" applyBorder="1" applyAlignment="1" applyProtection="1">
      <alignment horizontal="center"/>
    </xf>
    <xf numFmtId="165" fontId="27" fillId="0" borderId="2" xfId="0" applyNumberFormat="1" applyFont="1" applyFill="1" applyBorder="1" applyAlignment="1" applyProtection="1">
      <alignment horizontal="center"/>
    </xf>
    <xf numFmtId="0" fontId="85" fillId="0" borderId="63" xfId="0" applyFont="1" applyBorder="1" applyAlignment="1">
      <alignment vertical="center"/>
    </xf>
    <xf numFmtId="165" fontId="85" fillId="0" borderId="0" xfId="0" applyNumberFormat="1" applyFont="1" applyFill="1" applyBorder="1" applyAlignment="1" applyProtection="1">
      <alignment horizontal="center"/>
    </xf>
    <xf numFmtId="165" fontId="86" fillId="0" borderId="0" xfId="0" applyNumberFormat="1" applyFont="1" applyFill="1" applyBorder="1" applyAlignment="1" applyProtection="1">
      <alignment horizontal="center"/>
    </xf>
  </cellXfs>
  <cellStyles count="27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-0.390731128489274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0.92050485345244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0.438371146789077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0.898794046299167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-0.978147600733806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-0.207911690817759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0.965925826289068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-0.258819045102521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-0.104528463267653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0.994521895368273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0.104528463267653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0.994521895368273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-0.848048096156426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-0.529919264233205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0.848048096156426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-0.529919264233205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911720"/>
        <c:axId val="2071915016"/>
      </c:scatterChart>
      <c:valAx>
        <c:axId val="2071911720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1915016"/>
        <c:crosses val="autoZero"/>
        <c:crossBetween val="midCat"/>
      </c:valAx>
      <c:valAx>
        <c:axId val="2071915016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1911720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968360"/>
        <c:axId val="2071369656"/>
      </c:scatterChart>
      <c:valAx>
        <c:axId val="2071968360"/>
        <c:scaling>
          <c:orientation val="minMax"/>
          <c:max val="5.0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2071369656"/>
        <c:crosses val="autoZero"/>
        <c:crossBetween val="midCat"/>
        <c:majorUnit val="1.0"/>
        <c:minorUnit val="0.5"/>
      </c:valAx>
      <c:valAx>
        <c:axId val="2071369656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1968360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894824"/>
        <c:axId val="2072898424"/>
      </c:scatterChart>
      <c:valAx>
        <c:axId val="2072894824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2898424"/>
        <c:crossesAt val="0.5"/>
        <c:crossBetween val="midCat"/>
        <c:majorUnit val="1.0"/>
        <c:minorUnit val="0.5"/>
      </c:valAx>
      <c:valAx>
        <c:axId val="2072898424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289482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4" Type="http://schemas.openxmlformats.org/officeDocument/2006/relationships/image" Target="../media/image7.png"/><Relationship Id="rId1" Type="http://schemas.openxmlformats.org/officeDocument/2006/relationships/image" Target="../media/image4.png"/><Relationship Id="rId2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121920</xdr:colOff>
      <xdr:row>65</xdr:row>
      <xdr:rowOff>51896</xdr:rowOff>
    </xdr:from>
    <xdr:to>
      <xdr:col>11</xdr:col>
      <xdr:colOff>304799</xdr:colOff>
      <xdr:row>83</xdr:row>
      <xdr:rowOff>182880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4529896"/>
          <a:ext cx="6746239" cy="4012104"/>
        </a:xfrm>
        <a:prstGeom prst="rect">
          <a:avLst/>
        </a:prstGeom>
      </xdr:spPr>
    </xdr:pic>
    <xdr:clientData/>
  </xdr:twoCellAnchor>
  <xdr:twoCellAnchor editAs="oneCell">
    <xdr:from>
      <xdr:col>12</xdr:col>
      <xdr:colOff>97296</xdr:colOff>
      <xdr:row>65</xdr:row>
      <xdr:rowOff>60960</xdr:rowOff>
    </xdr:from>
    <xdr:to>
      <xdr:col>20</xdr:col>
      <xdr:colOff>855909</xdr:colOff>
      <xdr:row>89</xdr:row>
      <xdr:rowOff>152400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896" y="14356080"/>
          <a:ext cx="7057813" cy="52933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20320</xdr:colOff>
      <xdr:row>38</xdr:row>
      <xdr:rowOff>91440</xdr:rowOff>
    </xdr:from>
    <xdr:to>
      <xdr:col>17</xdr:col>
      <xdr:colOff>822960</xdr:colOff>
      <xdr:row>61</xdr:row>
      <xdr:rowOff>81280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4960" y="8818880"/>
          <a:ext cx="4734560" cy="4734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32</xdr:row>
      <xdr:rowOff>10160</xdr:rowOff>
    </xdr:from>
    <xdr:to>
      <xdr:col>27</xdr:col>
      <xdr:colOff>314960</xdr:colOff>
      <xdr:row>63</xdr:row>
      <xdr:rowOff>10160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29120"/>
          <a:ext cx="8839200" cy="6644640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</xdr:colOff>
      <xdr:row>63</xdr:row>
      <xdr:rowOff>81280</xdr:rowOff>
    </xdr:from>
    <xdr:to>
      <xdr:col>17</xdr:col>
      <xdr:colOff>812800</xdr:colOff>
      <xdr:row>98</xdr:row>
      <xdr:rowOff>20320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7680" y="13644880"/>
          <a:ext cx="8219440" cy="74269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63</xdr:row>
      <xdr:rowOff>81280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644880"/>
          <a:ext cx="8839200" cy="742696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60960</xdr:colOff>
      <xdr:row>2</xdr:row>
      <xdr:rowOff>210186</xdr:rowOff>
    </xdr:from>
    <xdr:to>
      <xdr:col>21</xdr:col>
      <xdr:colOff>934720</xdr:colOff>
      <xdr:row>32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8480" y="687706"/>
          <a:ext cx="8300720" cy="623125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6</xdr:row>
      <xdr:rowOff>40640</xdr:rowOff>
    </xdr:from>
    <xdr:to>
      <xdr:col>19</xdr:col>
      <xdr:colOff>406400</xdr:colOff>
      <xdr:row>21</xdr:row>
      <xdr:rowOff>132080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22</xdr:row>
      <xdr:rowOff>81280</xdr:rowOff>
    </xdr:from>
    <xdr:to>
      <xdr:col>17</xdr:col>
      <xdr:colOff>172720</xdr:colOff>
      <xdr:row>53</xdr:row>
      <xdr:rowOff>142240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agneticlynx.com/DV/" TargetMode="External"/><Relationship Id="rId20" Type="http://schemas.openxmlformats.org/officeDocument/2006/relationships/hyperlink" Target="https://annas-archive.org/md5/a909ca4cac9fc75b7eba17c6efea3327" TargetMode="External"/><Relationship Id="rId21" Type="http://schemas.openxmlformats.org/officeDocument/2006/relationships/hyperlink" Target="https://www.amstzone.org/Home/VWboxer.pdf" TargetMode="External"/><Relationship Id="rId22" Type="http://schemas.openxmlformats.org/officeDocument/2006/relationships/hyperlink" Target="https://www.amstzone.org/Home/VWboxer88x82.xlsx" TargetMode="External"/><Relationship Id="rId23" Type="http://schemas.openxmlformats.org/officeDocument/2006/relationships/hyperlink" Target="https://www.amstzone.org/Home/VWboxer86x86.xlsx" TargetMode="External"/><Relationship Id="rId24" Type="http://schemas.openxmlformats.org/officeDocument/2006/relationships/hyperlink" Target="https://www.amstzone.org/Home/VWboxer86x92.xlsx" TargetMode="External"/><Relationship Id="rId25" Type="http://schemas.openxmlformats.org/officeDocument/2006/relationships/hyperlink" Target="https://www.amstzone.org/Home/VWboxerSBC.xlsx" TargetMode="External"/><Relationship Id="rId26" Type="http://schemas.openxmlformats.org/officeDocument/2006/relationships/hyperlink" Target="https://www.amstzone.org/Home/VWboxer5cyl.xlsx" TargetMode="External"/><Relationship Id="rId27" Type="http://schemas.openxmlformats.org/officeDocument/2006/relationships/drawing" Target="../drawings/drawing1.xml"/><Relationship Id="rId10" Type="http://schemas.openxmlformats.org/officeDocument/2006/relationships/hyperlink" Target="https://youtube.com/@davidvizard" TargetMode="External"/><Relationship Id="rId11" Type="http://schemas.openxmlformats.org/officeDocument/2006/relationships/hyperlink" Target="https://www.bainracing.com.au/" TargetMode="External"/><Relationship Id="rId12" Type="http://schemas.openxmlformats.org/officeDocument/2006/relationships/hyperlink" Target="https://youtube.com/@bainracing" TargetMode="External"/><Relationship Id="rId13" Type="http://schemas.openxmlformats.org/officeDocument/2006/relationships/hyperlink" Target="https://www.youtube.com/@salterracingengines" TargetMode="External"/><Relationship Id="rId14" Type="http://schemas.openxmlformats.org/officeDocument/2006/relationships/hyperlink" Target="https://www.youtube.com/@benalemedaracing2765" TargetMode="External"/><Relationship Id="rId15" Type="http://schemas.openxmlformats.org/officeDocument/2006/relationships/hyperlink" Target="https://MotoIQ.com" TargetMode="External"/><Relationship Id="rId16" Type="http://schemas.openxmlformats.org/officeDocument/2006/relationships/hyperlink" Target="https://youtube.com/@motoiq" TargetMode="External"/><Relationship Id="rId17" Type="http://schemas.openxmlformats.org/officeDocument/2006/relationships/hyperlink" Target="https://www.themotorbookstore.com/how-to-build-horsepower.html" TargetMode="External"/><Relationship Id="rId18" Type="http://schemas.openxmlformats.org/officeDocument/2006/relationships/hyperlink" Target="https://annas-archive.org/md5/3354d844c5bc7acfdfe0aa4c6a91bac2" TargetMode="External"/><Relationship Id="rId19" Type="http://schemas.openxmlformats.org/officeDocument/2006/relationships/hyperlink" Target="https://welib.org/slow_download/be84858ac7e80c1033c2960180b46161/0/0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themotorbookstore.com/how-to-port-and-flow-test.html" TargetMode="External"/><Relationship Id="rId7" Type="http://schemas.openxmlformats.org/officeDocument/2006/relationships/hyperlink" Target="https://www.themotorbookstore.com/performance-automotive-engine-math.html" TargetMode="External"/><Relationship Id="rId8" Type="http://schemas.openxmlformats.org/officeDocument/2006/relationships/hyperlink" Target="https://www.maxracesoftwares.com/forum/viewtopic.php?f=14&amp;t=26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32.5703125" style="67" customWidth="1"/>
    <col min="2" max="2" width="11.28515625" style="67" customWidth="1"/>
    <col min="3" max="3" width="10.42578125" style="67" customWidth="1"/>
    <col min="4" max="4" width="22.28515625" style="67" customWidth="1"/>
    <col min="5" max="5" width="8.7109375" style="67" customWidth="1"/>
    <col min="6" max="6" width="10.140625" style="67" customWidth="1"/>
    <col min="7" max="7" width="11" style="67" customWidth="1"/>
    <col min="8" max="8" width="13.85546875" style="67" customWidth="1"/>
    <col min="9" max="9" width="9.28515625" style="67" customWidth="1"/>
    <col min="10" max="10" width="9.5703125" style="67" customWidth="1"/>
    <col min="11" max="11" width="11.28515625" style="67" customWidth="1"/>
    <col min="12" max="12" width="10" style="67" customWidth="1"/>
    <col min="13" max="14" width="8.42578125" style="67" customWidth="1"/>
    <col min="15" max="15" width="9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0.85546875" style="2" customWidth="1"/>
    <col min="22" max="22" width="9.85546875" style="2" bestFit="1" customWidth="1"/>
    <col min="23" max="28" width="8.7109375" style="2"/>
    <col min="29" max="29" width="10.28515625" style="2" customWidth="1"/>
    <col min="30" max="16384" width="8.7109375" style="2"/>
  </cols>
  <sheetData>
    <row r="1" spans="1:19" ht="20" customHeight="1">
      <c r="A1" s="2" t="s">
        <v>498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3" customHeight="1">
      <c r="B2" s="370" t="s">
        <v>705</v>
      </c>
      <c r="E2" s="116" t="s">
        <v>642</v>
      </c>
    </row>
    <row r="3" spans="1:19" ht="20" customHeight="1">
      <c r="B3" s="348" t="s">
        <v>707</v>
      </c>
      <c r="E3" s="116"/>
    </row>
    <row r="4" spans="1:19" ht="20" customHeight="1">
      <c r="A4" s="347" t="s">
        <v>31</v>
      </c>
      <c r="G4" s="54" t="s">
        <v>45</v>
      </c>
      <c r="H4" s="55" t="s">
        <v>46</v>
      </c>
      <c r="I4" s="56" t="s">
        <v>47</v>
      </c>
    </row>
    <row r="5" spans="1:19" ht="18.25" customHeight="1">
      <c r="A5" s="12" t="s">
        <v>42</v>
      </c>
      <c r="B5" s="121">
        <f>B7/B8</f>
        <v>1</v>
      </c>
      <c r="C5" s="49">
        <f>SQRT(PI()*(B7/2)^2)/B8</f>
        <v>0.88622692545275794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</row>
    <row r="6" spans="1:19" ht="17">
      <c r="A6" s="118"/>
      <c r="B6" s="3" t="str">
        <f>CONCATENATE(ROUND(B7/25.4,3),"""")</f>
        <v>2.441"</v>
      </c>
      <c r="G6" s="51">
        <v>64</v>
      </c>
      <c r="H6" s="47">
        <v>1192.0961819605686</v>
      </c>
      <c r="I6" s="38">
        <v>1385.1156345971258</v>
      </c>
      <c r="J6" s="117">
        <v>1470</v>
      </c>
      <c r="K6" s="126">
        <v>1487</v>
      </c>
      <c r="L6" s="126">
        <v>1522</v>
      </c>
      <c r="M6" s="117">
        <v>1557</v>
      </c>
      <c r="N6" s="117">
        <v>1629</v>
      </c>
      <c r="O6" s="117">
        <v>1647</v>
      </c>
      <c r="P6" s="117">
        <v>1702</v>
      </c>
      <c r="Q6" s="126">
        <v>1777</v>
      </c>
      <c r="R6" s="117">
        <v>1782</v>
      </c>
      <c r="S6" s="39">
        <v>2075</v>
      </c>
    </row>
    <row r="7" spans="1:19" ht="17">
      <c r="A7" s="12" t="s">
        <v>89</v>
      </c>
      <c r="B7" s="4">
        <v>62</v>
      </c>
      <c r="C7" s="68">
        <f>PI()*B7^2*B8/4000</f>
        <v>187.18237348618706</v>
      </c>
      <c r="D7" s="115" t="s">
        <v>1</v>
      </c>
      <c r="E7" s="456" t="s">
        <v>703</v>
      </c>
      <c r="G7" s="51">
        <v>69</v>
      </c>
      <c r="H7" s="47">
        <v>1285.2286961762381</v>
      </c>
      <c r="I7" s="47">
        <v>1493.3277935500262</v>
      </c>
      <c r="J7" s="48">
        <v>1585</v>
      </c>
      <c r="K7" s="126">
        <v>1603</v>
      </c>
      <c r="L7" s="126">
        <v>1641</v>
      </c>
      <c r="M7" s="117">
        <v>1679</v>
      </c>
      <c r="N7" s="117">
        <v>1756</v>
      </c>
      <c r="O7" s="117">
        <v>1775</v>
      </c>
      <c r="P7" s="117">
        <v>1835</v>
      </c>
      <c r="Q7" s="126">
        <v>1915</v>
      </c>
      <c r="R7" s="117">
        <v>2019</v>
      </c>
      <c r="S7" s="39">
        <v>2237</v>
      </c>
    </row>
    <row r="8" spans="1:19" ht="17">
      <c r="A8" s="12" t="s">
        <v>90</v>
      </c>
      <c r="B8" s="4">
        <v>62</v>
      </c>
      <c r="C8" s="13">
        <f>C7/2.54^3</f>
        <v>11.422569258665682</v>
      </c>
      <c r="D8" s="115" t="s">
        <v>0</v>
      </c>
      <c r="G8" s="51">
        <v>74</v>
      </c>
      <c r="H8" s="38">
        <v>1378.3612103919077</v>
      </c>
      <c r="I8" s="38">
        <v>1601.5399525029266</v>
      </c>
      <c r="J8" s="117">
        <v>1700</v>
      </c>
      <c r="K8" s="126">
        <v>1719</v>
      </c>
      <c r="L8" s="126">
        <v>1760</v>
      </c>
      <c r="M8" s="346">
        <v>1800</v>
      </c>
      <c r="N8" s="117">
        <v>1883</v>
      </c>
      <c r="O8" s="117">
        <v>1904</v>
      </c>
      <c r="P8" s="117">
        <v>1968</v>
      </c>
      <c r="Q8" s="126">
        <v>2054</v>
      </c>
      <c r="R8" s="117">
        <v>2165</v>
      </c>
      <c r="S8" s="39">
        <v>2399</v>
      </c>
    </row>
    <row r="9" spans="1:19" ht="17">
      <c r="A9" s="12"/>
      <c r="B9" s="6" t="str">
        <f>CONCATENATE(ROUND(B8/25.4,3),"""")</f>
        <v>2.441"</v>
      </c>
      <c r="C9" s="13"/>
      <c r="D9" s="115"/>
      <c r="G9" s="53">
        <v>76</v>
      </c>
      <c r="H9" s="38">
        <v>1415.6142160781753</v>
      </c>
      <c r="I9" s="38">
        <v>1644.8248160840867</v>
      </c>
      <c r="J9" s="117">
        <v>1745</v>
      </c>
      <c r="K9" s="126">
        <v>1766</v>
      </c>
      <c r="L9" s="126">
        <v>1807</v>
      </c>
      <c r="M9" s="117">
        <v>1849</v>
      </c>
      <c r="N9" s="117">
        <v>1934</v>
      </c>
      <c r="O9" s="117">
        <v>1956</v>
      </c>
      <c r="P9" s="117">
        <v>2021</v>
      </c>
      <c r="Q9" s="126">
        <v>2110</v>
      </c>
      <c r="R9" s="117">
        <v>2223</v>
      </c>
      <c r="S9" s="39">
        <v>2465</v>
      </c>
    </row>
    <row r="10" spans="1:19" ht="17">
      <c r="A10" s="115"/>
      <c r="B10" s="117" t="str">
        <f>CONCATENATE(ROUND(1.8*B8/25.4,3),""" ≥ Length ≥ ", ROUND(1.6*B8/25.4,3),"""")</f>
        <v>4.394" ≥ Length ≥ 3.906"</v>
      </c>
      <c r="E10" s="119" t="s">
        <v>12</v>
      </c>
      <c r="F10" s="119" t="s">
        <v>19</v>
      </c>
      <c r="G10" s="52">
        <v>78</v>
      </c>
      <c r="H10" s="38">
        <v>1452.867221764443</v>
      </c>
      <c r="I10" s="38">
        <v>1688.1096796652469</v>
      </c>
      <c r="J10" s="117">
        <v>1791</v>
      </c>
      <c r="K10" s="126">
        <v>1812</v>
      </c>
      <c r="L10" s="126">
        <v>1855</v>
      </c>
      <c r="M10" s="117">
        <v>1898</v>
      </c>
      <c r="N10" s="117">
        <v>1985</v>
      </c>
      <c r="O10" s="117">
        <v>2007</v>
      </c>
      <c r="P10" s="117">
        <v>2074</v>
      </c>
      <c r="Q10" s="126">
        <v>2165</v>
      </c>
      <c r="R10" s="117">
        <v>2282</v>
      </c>
      <c r="S10" s="39">
        <v>2529</v>
      </c>
    </row>
    <row r="11" spans="1:19" ht="17">
      <c r="A11" s="12" t="s">
        <v>88</v>
      </c>
      <c r="B11" s="165">
        <v>4.3307099999999998</v>
      </c>
      <c r="C11" s="121">
        <f>25.4*B11/B8</f>
        <v>1.7741940967741934</v>
      </c>
      <c r="D11" s="114" t="s">
        <v>6</v>
      </c>
      <c r="E11" s="10">
        <v>2.2913385826771657</v>
      </c>
      <c r="F11" s="10">
        <v>58.2</v>
      </c>
      <c r="G11" s="52">
        <v>80</v>
      </c>
      <c r="H11" s="117">
        <v>1490</v>
      </c>
      <c r="I11" s="117">
        <v>1731</v>
      </c>
      <c r="J11" s="117">
        <v>1837</v>
      </c>
      <c r="K11" s="117">
        <v>1859</v>
      </c>
      <c r="L11" s="117">
        <v>1902</v>
      </c>
      <c r="M11" s="117">
        <v>1946</v>
      </c>
      <c r="N11" s="117">
        <v>2036</v>
      </c>
      <c r="O11" s="117">
        <v>2058</v>
      </c>
      <c r="P11" s="117">
        <v>2127</v>
      </c>
      <c r="Q11" s="117">
        <v>2221</v>
      </c>
      <c r="R11" s="117">
        <v>2340</v>
      </c>
      <c r="S11" s="39">
        <v>2594</v>
      </c>
    </row>
    <row r="12" spans="1:19" ht="17">
      <c r="B12" s="68">
        <f>25.4*B11</f>
        <v>110.00003399999999</v>
      </c>
      <c r="C12" s="106" t="s">
        <v>19</v>
      </c>
      <c r="E12" s="119" t="s">
        <v>19</v>
      </c>
      <c r="F12" s="119" t="s">
        <v>12</v>
      </c>
      <c r="G12" s="52">
        <v>82</v>
      </c>
      <c r="H12" s="38">
        <v>1527.3732331369788</v>
      </c>
      <c r="I12" s="38">
        <v>1774.6794068275674</v>
      </c>
      <c r="J12" s="117">
        <v>1883</v>
      </c>
      <c r="K12" s="126">
        <v>1905</v>
      </c>
      <c r="L12" s="126">
        <v>1950</v>
      </c>
      <c r="M12" s="126">
        <v>1995</v>
      </c>
      <c r="N12" s="117">
        <v>2087</v>
      </c>
      <c r="O12" s="117">
        <v>2110</v>
      </c>
      <c r="P12" s="248">
        <v>2180</v>
      </c>
      <c r="Q12" s="126">
        <v>2276</v>
      </c>
      <c r="R12" s="117">
        <v>2399</v>
      </c>
      <c r="S12" s="39">
        <v>2659</v>
      </c>
    </row>
    <row r="13" spans="1:19" ht="17">
      <c r="A13" s="12" t="s">
        <v>22</v>
      </c>
      <c r="B13" s="10">
        <v>4</v>
      </c>
      <c r="C13" s="106"/>
      <c r="D13" s="135" t="s">
        <v>647</v>
      </c>
      <c r="E13" s="68">
        <f>25.4*E11</f>
        <v>58.2</v>
      </c>
      <c r="F13" s="121">
        <f>F11/25.4</f>
        <v>2.2913385826771657</v>
      </c>
      <c r="G13" s="52">
        <v>84</v>
      </c>
      <c r="H13" s="38">
        <v>1564.6262388232465</v>
      </c>
      <c r="I13" s="38">
        <v>1817.9642704087278</v>
      </c>
      <c r="J13" s="117">
        <v>1929</v>
      </c>
      <c r="K13" s="126">
        <v>1952</v>
      </c>
      <c r="L13" s="126">
        <v>1997</v>
      </c>
      <c r="M13" s="117">
        <v>2044</v>
      </c>
      <c r="N13" s="117">
        <v>2138</v>
      </c>
      <c r="O13" s="117">
        <v>2161</v>
      </c>
      <c r="P13" s="117">
        <v>2234</v>
      </c>
      <c r="Q13" s="126">
        <v>2332</v>
      </c>
      <c r="R13" s="117">
        <v>2457</v>
      </c>
      <c r="S13" s="39">
        <v>2724</v>
      </c>
    </row>
    <row r="14" spans="1:19" ht="17">
      <c r="A14" s="12" t="s">
        <v>8</v>
      </c>
      <c r="B14" s="68">
        <f>B13*C8</f>
        <v>45.690277034662728</v>
      </c>
      <c r="C14" s="115" t="s">
        <v>0</v>
      </c>
      <c r="D14" s="375" t="s">
        <v>648</v>
      </c>
      <c r="G14" s="52">
        <v>86</v>
      </c>
      <c r="H14" s="38">
        <v>1601.8792445095141</v>
      </c>
      <c r="I14" s="38">
        <v>1861.2491339898879</v>
      </c>
      <c r="J14" s="117">
        <v>1975</v>
      </c>
      <c r="K14" s="248">
        <v>1998</v>
      </c>
      <c r="L14" s="126">
        <v>2045</v>
      </c>
      <c r="M14" s="117">
        <v>2092</v>
      </c>
      <c r="N14" s="119">
        <v>2188</v>
      </c>
      <c r="O14" s="119">
        <v>2213</v>
      </c>
      <c r="P14" s="119">
        <v>2287</v>
      </c>
      <c r="Q14" s="126">
        <v>2387</v>
      </c>
      <c r="R14" s="117">
        <v>2516</v>
      </c>
      <c r="S14" s="39">
        <v>2789</v>
      </c>
    </row>
    <row r="15" spans="1:19" ht="18">
      <c r="A15" s="12" t="s">
        <v>48</v>
      </c>
      <c r="B15" s="68">
        <f>B13*C7</f>
        <v>748.72949394474824</v>
      </c>
      <c r="C15" s="115" t="s">
        <v>1</v>
      </c>
      <c r="D15" s="376" t="s">
        <v>650</v>
      </c>
      <c r="G15" s="52">
        <v>88</v>
      </c>
      <c r="H15" s="38">
        <v>1639.132250195782</v>
      </c>
      <c r="I15" s="38">
        <v>1904.5339975710478</v>
      </c>
      <c r="J15" s="117">
        <v>2021</v>
      </c>
      <c r="K15" s="126">
        <v>2045</v>
      </c>
      <c r="L15" s="126">
        <v>2093</v>
      </c>
      <c r="M15" s="117">
        <v>2141</v>
      </c>
      <c r="N15" s="117">
        <v>2239</v>
      </c>
      <c r="O15" s="117">
        <v>2264</v>
      </c>
      <c r="P15" s="117">
        <v>2340</v>
      </c>
      <c r="Q15" s="126">
        <v>2443</v>
      </c>
      <c r="R15" s="117">
        <v>2574</v>
      </c>
      <c r="S15" s="39">
        <v>2854</v>
      </c>
    </row>
    <row r="16" spans="1:19" ht="18">
      <c r="B16" s="455">
        <f>B15/1000</f>
        <v>0.74872949394474819</v>
      </c>
      <c r="C16" s="115" t="s">
        <v>3</v>
      </c>
      <c r="D16" s="376" t="s">
        <v>651</v>
      </c>
      <c r="G16" s="52">
        <v>90</v>
      </c>
      <c r="H16" s="38">
        <v>1676</v>
      </c>
      <c r="I16" s="38">
        <v>1948</v>
      </c>
      <c r="J16" s="117">
        <v>2067</v>
      </c>
      <c r="K16" s="126">
        <v>2091</v>
      </c>
      <c r="L16" s="126">
        <v>2140</v>
      </c>
      <c r="M16" s="126">
        <v>2190</v>
      </c>
      <c r="N16" s="117">
        <v>2290</v>
      </c>
      <c r="O16" s="117">
        <v>2316</v>
      </c>
      <c r="P16" s="126">
        <v>2393</v>
      </c>
      <c r="Q16" s="126">
        <v>2498</v>
      </c>
      <c r="R16" s="117">
        <v>2633</v>
      </c>
      <c r="S16" s="39">
        <v>2919</v>
      </c>
    </row>
    <row r="17" spans="1:33" ht="18">
      <c r="D17" s="376" t="s">
        <v>652</v>
      </c>
      <c r="G17" s="160" t="s">
        <v>15</v>
      </c>
      <c r="H17" s="158" t="s">
        <v>16</v>
      </c>
      <c r="I17" s="158" t="s">
        <v>16</v>
      </c>
      <c r="J17" s="158" t="s">
        <v>16</v>
      </c>
      <c r="K17" s="158" t="s">
        <v>16</v>
      </c>
      <c r="L17" s="158" t="s">
        <v>16</v>
      </c>
      <c r="M17" s="158" t="s">
        <v>64</v>
      </c>
      <c r="N17" s="158" t="s">
        <v>17</v>
      </c>
      <c r="O17" s="158" t="s">
        <v>17</v>
      </c>
      <c r="P17" s="158" t="s">
        <v>17</v>
      </c>
      <c r="Q17" s="158" t="s">
        <v>17</v>
      </c>
      <c r="R17" s="158" t="s">
        <v>17</v>
      </c>
      <c r="S17" s="159" t="s">
        <v>17</v>
      </c>
    </row>
    <row r="18" spans="1:33" ht="19" customHeight="1">
      <c r="A18" s="12" t="s">
        <v>585</v>
      </c>
      <c r="B18" s="13">
        <f>B19/B13</f>
        <v>18.75200447075721</v>
      </c>
      <c r="D18" s="387" t="s">
        <v>662</v>
      </c>
    </row>
    <row r="19" spans="1:33" ht="18" customHeight="1">
      <c r="A19" s="12" t="s">
        <v>2</v>
      </c>
      <c r="B19" s="57">
        <f>'Airflow &amp; Carburation'!$A$17</f>
        <v>75.008017883028842</v>
      </c>
      <c r="D19" s="383" t="s">
        <v>658</v>
      </c>
      <c r="M19" s="349" t="s">
        <v>640</v>
      </c>
      <c r="N19" s="357" t="s">
        <v>637</v>
      </c>
      <c r="AG19" s="2" t="s">
        <v>459</v>
      </c>
    </row>
    <row r="20" spans="1:33" ht="19" customHeight="1">
      <c r="A20" s="12" t="s">
        <v>49</v>
      </c>
      <c r="B20" s="14">
        <f>B19/B14</f>
        <v>1.6416625757406622</v>
      </c>
      <c r="N20" s="358" t="s">
        <v>457</v>
      </c>
      <c r="P20" s="365"/>
      <c r="Q20" s="92"/>
    </row>
    <row r="21" spans="1:33" ht="18" customHeight="1">
      <c r="A21" s="12" t="s">
        <v>683</v>
      </c>
      <c r="B21" s="13">
        <f>2.3948*SIN(PI()*(3.75*B22+20)/180)-0.6815</f>
        <v>1.3382538344326986</v>
      </c>
      <c r="C21" s="68">
        <f>B21*B14</f>
        <v>61.145188437929669</v>
      </c>
      <c r="D21" s="399" t="s">
        <v>682</v>
      </c>
      <c r="M21" s="196"/>
      <c r="N21" s="357" t="s">
        <v>635</v>
      </c>
      <c r="Q21" s="364" t="s">
        <v>643</v>
      </c>
    </row>
    <row r="22" spans="1:33" ht="18">
      <c r="A22" s="12" t="s">
        <v>29</v>
      </c>
      <c r="B22" s="185">
        <v>10</v>
      </c>
      <c r="C22" s="115" t="s">
        <v>6</v>
      </c>
      <c r="D22" s="373" t="s">
        <v>655</v>
      </c>
      <c r="M22" s="196"/>
      <c r="N22" s="357" t="s">
        <v>636</v>
      </c>
      <c r="Q22" s="2"/>
      <c r="R22" s="364" t="s">
        <v>643</v>
      </c>
    </row>
    <row r="23" spans="1:33" ht="17">
      <c r="A23" s="12" t="s">
        <v>440</v>
      </c>
      <c r="B23" s="4">
        <v>1</v>
      </c>
      <c r="C23" s="115" t="s">
        <v>1</v>
      </c>
      <c r="N23" s="357" t="s">
        <v>638</v>
      </c>
    </row>
    <row r="24" spans="1:33" ht="18">
      <c r="A24" s="12" t="s">
        <v>10</v>
      </c>
      <c r="B24" s="10">
        <v>0.03</v>
      </c>
      <c r="C24" s="115" t="s">
        <v>11</v>
      </c>
      <c r="N24" s="357" t="s">
        <v>634</v>
      </c>
      <c r="P24" s="364" t="s">
        <v>643</v>
      </c>
    </row>
    <row r="25" spans="1:33" ht="18">
      <c r="A25" s="12" t="s">
        <v>584</v>
      </c>
      <c r="B25" s="13">
        <f>2.54*B24*B7^2*PI()/400</f>
        <v>2.3005317515560408</v>
      </c>
      <c r="C25" s="115" t="s">
        <v>1</v>
      </c>
      <c r="E25" s="430" t="s">
        <v>623</v>
      </c>
      <c r="G25" s="356" t="s">
        <v>460</v>
      </c>
      <c r="N25" s="357" t="s">
        <v>639</v>
      </c>
    </row>
    <row r="26" spans="1:33" ht="17">
      <c r="A26" s="12" t="s">
        <v>615</v>
      </c>
      <c r="B26" s="13">
        <f>C7/(B22-1)</f>
        <v>20.798041498465228</v>
      </c>
      <c r="C26" s="115" t="s">
        <v>1</v>
      </c>
      <c r="E26" s="331">
        <f>B8*SIN(C44)/2</f>
        <v>29.420924081041019</v>
      </c>
      <c r="G26" s="168" t="s">
        <v>461</v>
      </c>
      <c r="I26" s="168" t="s">
        <v>462</v>
      </c>
      <c r="N26" s="359" t="s">
        <v>455</v>
      </c>
      <c r="P26" s="360" t="s">
        <v>456</v>
      </c>
    </row>
    <row r="27" spans="1:33" ht="17">
      <c r="A27" s="12" t="s">
        <v>681</v>
      </c>
      <c r="B27" s="14">
        <f>B26-B23-B25</f>
        <v>17.497509746909188</v>
      </c>
      <c r="C27" s="115" t="s">
        <v>1</v>
      </c>
      <c r="E27" s="331">
        <f>B8*COS(C44)/2</f>
        <v>9.7677646479437978</v>
      </c>
      <c r="G27" s="118" t="s">
        <v>464</v>
      </c>
      <c r="I27" s="168" t="s">
        <v>465</v>
      </c>
      <c r="K27" s="168" t="s">
        <v>463</v>
      </c>
      <c r="N27" s="90" t="s">
        <v>458</v>
      </c>
      <c r="O27" s="90"/>
      <c r="P27" s="361"/>
    </row>
    <row r="28" spans="1:33" ht="17">
      <c r="A28" s="12" t="s">
        <v>621</v>
      </c>
      <c r="B28" s="13">
        <f>B8-((E29+B8/2)-B12)</f>
        <v>44.775267277951613</v>
      </c>
      <c r="C28" s="45" t="s">
        <v>19</v>
      </c>
      <c r="E28" s="331">
        <f>SQRT(B12^2-E26^2)</f>
        <v>105.99253136999216</v>
      </c>
      <c r="F28" s="13"/>
      <c r="N28" s="90" t="s">
        <v>494</v>
      </c>
      <c r="P28" s="358" t="s">
        <v>495</v>
      </c>
    </row>
    <row r="29" spans="1:33" ht="18" thickBot="1">
      <c r="A29" s="12" t="s">
        <v>620</v>
      </c>
      <c r="B29" s="13">
        <f>B28*(B22-1)/B8+1</f>
        <v>7.4996355726058797</v>
      </c>
      <c r="C29" s="115" t="s">
        <v>6</v>
      </c>
      <c r="D29" s="195" t="str">
        <f>CONCATENATE("× VE Factor: ",ROUND('Airflow &amp; Carburation'!$A$18*B29,2),":1")</f>
        <v>× VE Factor: 9.21:1</v>
      </c>
      <c r="E29" s="331">
        <f>E28-E27</f>
        <v>96.224766722048372</v>
      </c>
      <c r="F29" s="13"/>
      <c r="N29" s="90" t="s">
        <v>508</v>
      </c>
      <c r="P29" s="358" t="s">
        <v>507</v>
      </c>
    </row>
    <row r="30" spans="1:33" ht="18" thickBot="1">
      <c r="A30" s="339" t="s">
        <v>626</v>
      </c>
      <c r="B30" s="338" t="s">
        <v>629</v>
      </c>
      <c r="C30" s="332"/>
      <c r="D30" s="333"/>
      <c r="E30" s="334"/>
      <c r="F30" s="335"/>
      <c r="G30" s="337"/>
      <c r="H30" s="337"/>
      <c r="I30" s="337"/>
      <c r="J30" s="337"/>
      <c r="K30" s="336"/>
      <c r="N30" s="358" t="s">
        <v>641</v>
      </c>
      <c r="O30" s="357" t="s">
        <v>456</v>
      </c>
    </row>
    <row r="31" spans="1:33" ht="21" customHeight="1">
      <c r="A31" s="12" t="s">
        <v>624</v>
      </c>
      <c r="B31" s="68">
        <f>1.36*'Airflow &amp; Carburation'!$A$8*B29</f>
        <v>149.89191635002177</v>
      </c>
      <c r="C31" s="115" t="s">
        <v>625</v>
      </c>
      <c r="D31" s="331"/>
      <c r="E31" s="12"/>
      <c r="F31" s="13"/>
      <c r="N31" s="2"/>
    </row>
    <row r="32" spans="1:33" ht="19" customHeight="1" thickBot="1">
      <c r="A32" s="429" t="s">
        <v>680</v>
      </c>
      <c r="B32" s="427">
        <f>'Airflow &amp; Carburation'!$A$18*B31</f>
        <v>184.09192583621436</v>
      </c>
      <c r="C32" s="428" t="s">
        <v>625</v>
      </c>
      <c r="D32" s="253"/>
      <c r="E32" s="254"/>
      <c r="F32" s="255"/>
      <c r="G32" s="253"/>
      <c r="H32" s="253"/>
      <c r="I32" s="253"/>
      <c r="J32" s="253"/>
      <c r="K32" s="253"/>
      <c r="L32" s="253"/>
      <c r="N32" s="2"/>
    </row>
    <row r="33" spans="1:25" ht="17" customHeight="1">
      <c r="A33" s="119" t="s">
        <v>590</v>
      </c>
      <c r="B33" s="119" t="s">
        <v>583</v>
      </c>
      <c r="D33" s="431" t="s">
        <v>627</v>
      </c>
      <c r="E33" s="12"/>
      <c r="F33" s="116" t="s">
        <v>23</v>
      </c>
      <c r="M33" s="325"/>
      <c r="N33" s="250"/>
      <c r="R33" s="250"/>
    </row>
    <row r="34" spans="1:25" ht="16" customHeight="1">
      <c r="A34" s="267" t="s">
        <v>571</v>
      </c>
      <c r="B34" s="268" t="str">
        <f>CONCATENATE(ROUND(B65,1)," / ", ROUND(B69,1))</f>
        <v>31.6 / 24.8</v>
      </c>
      <c r="C34" s="272" t="s">
        <v>19</v>
      </c>
      <c r="D34" s="432" t="str">
        <f>B75</f>
        <v>~ 117.3 °</v>
      </c>
      <c r="E34" s="12"/>
      <c r="F34" s="13"/>
      <c r="M34" s="325"/>
      <c r="N34" s="250"/>
      <c r="R34" s="250"/>
    </row>
    <row r="35" spans="1:25" ht="18" thickBot="1">
      <c r="A35" s="278" t="s">
        <v>569</v>
      </c>
      <c r="B35" s="279" t="str">
        <f>CONCATENATE(ROUND(B81,1)," / ", ROUND(B85,1))</f>
        <v>30.4 / 24.3</v>
      </c>
      <c r="C35" s="280" t="s">
        <v>19</v>
      </c>
      <c r="D35" s="433" t="str">
        <f>B91</f>
        <v>~ 116.4 °</v>
      </c>
      <c r="E35" s="12"/>
      <c r="F35" s="13"/>
      <c r="M35" s="325"/>
      <c r="N35" s="250"/>
      <c r="R35" s="250"/>
    </row>
    <row r="36" spans="1:25" ht="18" thickBot="1">
      <c r="A36" s="119" t="s">
        <v>93</v>
      </c>
      <c r="B36" s="165">
        <v>0.25</v>
      </c>
      <c r="C36" s="115" t="s">
        <v>11</v>
      </c>
      <c r="E36" s="315" t="s">
        <v>598</v>
      </c>
      <c r="M36" s="325"/>
      <c r="N36" s="250"/>
      <c r="R36" s="67"/>
    </row>
    <row r="37" spans="1:25" ht="17">
      <c r="A37" s="12" t="s">
        <v>420</v>
      </c>
      <c r="B37" s="165">
        <v>1.4</v>
      </c>
      <c r="C37" s="272" t="str">
        <f>CONCATENATE( "   ", ROUND(2540*B38/B65,1),"% Lift Of Intake Valve Dia.")</f>
        <v xml:space="preserve">   28.1% Lift Of Intake Valve Dia.</v>
      </c>
      <c r="E37" s="299">
        <f>2540*B38/D65</f>
        <v>28.677419354838708</v>
      </c>
      <c r="F37" s="298" t="s">
        <v>442</v>
      </c>
      <c r="M37" s="325"/>
      <c r="N37" s="250"/>
      <c r="R37" s="67"/>
    </row>
    <row r="38" spans="1:25" ht="18" thickBot="1">
      <c r="A38" s="119" t="s">
        <v>92</v>
      </c>
      <c r="B38" s="121">
        <f>B37*B36</f>
        <v>0.35</v>
      </c>
      <c r="C38" s="281" t="str">
        <f>CONCATENATE( """  ", ROUND(2311.4*B38/B82,1),"% Lift Of Intake Valve Dia.")</f>
        <v>"  32.5% Lift Of Intake Valve Dia.</v>
      </c>
      <c r="E38" s="300">
        <f>2311.4*B38/D82</f>
        <v>34.425106382978726</v>
      </c>
      <c r="F38" s="298" t="s">
        <v>442</v>
      </c>
      <c r="H38" s="12" t="s">
        <v>43</v>
      </c>
      <c r="M38" s="405"/>
      <c r="N38" s="374"/>
      <c r="O38" s="253"/>
      <c r="P38" s="253"/>
      <c r="Q38" s="253"/>
      <c r="R38" s="253"/>
      <c r="S38" s="250"/>
      <c r="W38" s="250"/>
      <c r="X38" s="250"/>
    </row>
    <row r="39" spans="1:25" ht="17">
      <c r="A39" s="119" t="s">
        <v>18</v>
      </c>
      <c r="B39" s="10">
        <v>0</v>
      </c>
      <c r="C39" s="115" t="s">
        <v>33</v>
      </c>
      <c r="D39" s="312" t="s">
        <v>699</v>
      </c>
      <c r="E39" s="46"/>
      <c r="F39" s="18">
        <v>0</v>
      </c>
      <c r="G39" s="19">
        <v>0</v>
      </c>
      <c r="H39" s="50"/>
      <c r="M39" s="371"/>
      <c r="N39" s="250"/>
      <c r="R39" s="250"/>
      <c r="S39" s="457"/>
      <c r="T39" s="250"/>
      <c r="U39" s="250"/>
      <c r="V39" s="250"/>
      <c r="W39" s="250"/>
      <c r="X39" s="250"/>
      <c r="Y39" s="250"/>
    </row>
    <row r="40" spans="1:25" ht="18" customHeight="1">
      <c r="A40" s="12" t="s">
        <v>579</v>
      </c>
      <c r="B40" s="10">
        <v>116</v>
      </c>
      <c r="C40" s="115" t="s">
        <v>33</v>
      </c>
      <c r="D40" s="312" t="s">
        <v>706</v>
      </c>
      <c r="E40" s="46"/>
      <c r="F40" s="21">
        <f>-SIN(PI()*C46/180)</f>
        <v>-0.39073112848927372</v>
      </c>
      <c r="G40" s="22">
        <f>COS(PI()*C46/180)</f>
        <v>0.92050485345244037</v>
      </c>
      <c r="N40" s="250"/>
      <c r="R40" s="363"/>
      <c r="S40" s="457"/>
      <c r="T40" s="250"/>
      <c r="U40" s="250"/>
      <c r="V40" s="250"/>
      <c r="W40" s="250"/>
      <c r="X40" s="250"/>
      <c r="Y40" s="250"/>
    </row>
    <row r="41" spans="1:25" ht="17">
      <c r="A41" s="12" t="s">
        <v>34</v>
      </c>
      <c r="B41" s="10">
        <v>281</v>
      </c>
      <c r="C41" s="115" t="s">
        <v>33</v>
      </c>
      <c r="D41" s="372" t="s">
        <v>700</v>
      </c>
      <c r="E41" s="46"/>
      <c r="F41" s="9">
        <f>0</f>
        <v>0</v>
      </c>
      <c r="G41" s="5">
        <v>0</v>
      </c>
      <c r="N41" s="363"/>
      <c r="R41" s="250"/>
      <c r="S41" s="457"/>
      <c r="T41" s="250"/>
      <c r="U41" s="250"/>
      <c r="V41" s="250"/>
      <c r="W41" s="250"/>
      <c r="X41" s="250"/>
      <c r="Y41" s="250"/>
    </row>
    <row r="42" spans="1:25" ht="18" thickBot="1">
      <c r="A42" s="12" t="s">
        <v>35</v>
      </c>
      <c r="B42" s="10">
        <v>244</v>
      </c>
      <c r="C42" s="115" t="s">
        <v>33</v>
      </c>
      <c r="D42" s="372"/>
      <c r="E42" s="46"/>
      <c r="F42" s="21">
        <f>SIN(PI()*(C47)/180)</f>
        <v>0.4383711467890774</v>
      </c>
      <c r="G42" s="22">
        <f>COS(PI()*C47/180)</f>
        <v>0.89879404629916704</v>
      </c>
      <c r="N42" s="250"/>
      <c r="R42" s="250"/>
      <c r="S42" s="457"/>
      <c r="T42" s="250"/>
      <c r="U42" s="250"/>
      <c r="V42" s="250"/>
      <c r="W42" s="250"/>
      <c r="X42" s="250"/>
      <c r="Y42" s="250"/>
    </row>
    <row r="43" spans="1:25" ht="17">
      <c r="A43" s="119" t="s">
        <v>37</v>
      </c>
      <c r="B43" s="44" t="s">
        <v>39</v>
      </c>
      <c r="C43" s="344">
        <f>C48-(C48-C54)/PI()</f>
        <v>71.63380227632419</v>
      </c>
      <c r="D43" s="118" t="s">
        <v>618</v>
      </c>
      <c r="E43" s="46"/>
      <c r="F43" s="9">
        <f>0</f>
        <v>0</v>
      </c>
      <c r="G43" s="5">
        <v>0</v>
      </c>
      <c r="N43" s="250"/>
      <c r="R43" s="250"/>
      <c r="S43" s="457"/>
      <c r="T43" s="250"/>
      <c r="U43" s="250"/>
      <c r="V43" s="250"/>
      <c r="W43" s="250"/>
      <c r="X43" s="250"/>
      <c r="Y43" s="250"/>
    </row>
    <row r="44" spans="1:25" ht="18" thickBot="1">
      <c r="A44" s="119" t="s">
        <v>38</v>
      </c>
      <c r="B44" s="43" t="s">
        <v>39</v>
      </c>
      <c r="C44" s="345">
        <f>PI()*C43/180</f>
        <v>1.250245705444466</v>
      </c>
      <c r="D44" s="118" t="s">
        <v>619</v>
      </c>
      <c r="E44" s="46"/>
      <c r="F44" s="21">
        <f>-SIN(PI()*(C48)/180)</f>
        <v>-0.97814760073380558</v>
      </c>
      <c r="G44" s="22">
        <f>-COS(PI()*C48/180)</f>
        <v>-0.20791169081775945</v>
      </c>
      <c r="N44" s="250"/>
      <c r="R44" s="250"/>
      <c r="S44" s="457"/>
      <c r="T44" s="250"/>
      <c r="U44" s="250"/>
      <c r="V44" s="250"/>
      <c r="W44" s="250"/>
      <c r="X44" s="250"/>
      <c r="Y44" s="250"/>
    </row>
    <row r="45" spans="1:25" ht="17">
      <c r="A45" s="119"/>
      <c r="B45" s="117" t="s">
        <v>50</v>
      </c>
      <c r="C45" s="324" t="s">
        <v>622</v>
      </c>
      <c r="D45" s="118"/>
      <c r="E45" s="58"/>
      <c r="F45" s="9">
        <f>0</f>
        <v>0</v>
      </c>
      <c r="G45" s="5">
        <v>0</v>
      </c>
      <c r="H45" s="23" t="s">
        <v>24</v>
      </c>
      <c r="N45" s="250"/>
      <c r="R45" s="250"/>
      <c r="S45" s="457"/>
      <c r="T45" s="250"/>
      <c r="U45" s="250"/>
      <c r="V45" s="250"/>
      <c r="W45" s="250"/>
      <c r="X45" s="250"/>
      <c r="Y45" s="250"/>
    </row>
    <row r="46" spans="1:25" ht="15.25" customHeight="1">
      <c r="A46" s="119" t="s">
        <v>14</v>
      </c>
      <c r="B46" s="117">
        <f>F47+B39</f>
        <v>24.5</v>
      </c>
      <c r="C46" s="10">
        <v>23</v>
      </c>
      <c r="D46" s="128" t="s">
        <v>25</v>
      </c>
      <c r="F46" s="26">
        <f>SIN(PI()*C49/180)</f>
        <v>0.96592582628906831</v>
      </c>
      <c r="G46" s="27">
        <f>-COS(PI()*C49/180)</f>
        <v>-0.25881904510252074</v>
      </c>
      <c r="H46" s="24">
        <v>0</v>
      </c>
      <c r="I46" s="19">
        <v>1</v>
      </c>
      <c r="N46" s="250"/>
      <c r="R46" s="250"/>
      <c r="S46" s="457"/>
      <c r="T46" s="250"/>
      <c r="U46" s="250"/>
      <c r="V46" s="250"/>
      <c r="W46" s="250"/>
      <c r="X46" s="250"/>
      <c r="Y46" s="250"/>
    </row>
    <row r="47" spans="1:25" ht="15.25" customHeight="1">
      <c r="A47" s="119" t="s">
        <v>21</v>
      </c>
      <c r="B47" s="117">
        <f>F47-B39</f>
        <v>24.5</v>
      </c>
      <c r="C47" s="10">
        <v>26</v>
      </c>
      <c r="D47" s="41" t="s">
        <v>26</v>
      </c>
      <c r="E47" s="17"/>
      <c r="F47" s="9">
        <f>(B41-2*B40)/2</f>
        <v>24.5</v>
      </c>
      <c r="H47" s="28">
        <v>0</v>
      </c>
      <c r="I47" s="5">
        <v>-1</v>
      </c>
      <c r="N47" s="250"/>
      <c r="R47" s="250"/>
      <c r="S47" s="457"/>
      <c r="T47" s="250"/>
      <c r="U47" s="250"/>
      <c r="V47" s="250"/>
      <c r="W47" s="250"/>
      <c r="X47" s="250"/>
      <c r="Y47" s="250"/>
    </row>
    <row r="48" spans="1:25" ht="15.25" customHeight="1">
      <c r="A48" s="119" t="s">
        <v>5</v>
      </c>
      <c r="B48" s="117">
        <f>B41-F47-B39-180</f>
        <v>76.5</v>
      </c>
      <c r="C48" s="10">
        <v>78</v>
      </c>
      <c r="D48" s="41" t="s">
        <v>27</v>
      </c>
      <c r="E48" s="20"/>
      <c r="F48" s="9">
        <f>(B41-B42)/2</f>
        <v>18.5</v>
      </c>
      <c r="H48" s="28">
        <v>-1</v>
      </c>
      <c r="I48" s="5">
        <v>0</v>
      </c>
      <c r="N48" s="250"/>
      <c r="R48" s="250"/>
      <c r="S48" s="457"/>
      <c r="T48" s="250"/>
      <c r="U48" s="250"/>
      <c r="V48" s="250"/>
      <c r="W48" s="250"/>
      <c r="X48" s="250"/>
      <c r="Y48" s="250"/>
    </row>
    <row r="49" spans="1:25" ht="15.25" customHeight="1">
      <c r="A49" s="119" t="s">
        <v>7</v>
      </c>
      <c r="B49" s="117">
        <f>-(180-B41+F47-B39)</f>
        <v>76.5</v>
      </c>
      <c r="C49" s="10">
        <v>75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50"/>
      <c r="R49" s="250"/>
      <c r="S49" s="457"/>
      <c r="T49" s="250"/>
      <c r="U49" s="250"/>
      <c r="V49" s="250"/>
      <c r="W49" s="250"/>
      <c r="X49" s="250"/>
      <c r="Y49" s="250"/>
    </row>
    <row r="50" spans="1:25" ht="15.25" customHeight="1">
      <c r="A50" s="118"/>
      <c r="B50" s="117" t="s">
        <v>50</v>
      </c>
      <c r="C50" s="118"/>
      <c r="D50" s="118"/>
      <c r="F50" s="31">
        <f>-SIN(PI()*C52/180)</f>
        <v>-0.10452846326765346</v>
      </c>
      <c r="G50" s="22">
        <f>COS(PI()*C52/180)</f>
        <v>0.99452189536827329</v>
      </c>
      <c r="N50" s="250"/>
      <c r="R50" s="250"/>
      <c r="S50" s="457"/>
      <c r="T50" s="250"/>
      <c r="U50" s="250"/>
      <c r="V50" s="250"/>
      <c r="W50" s="250"/>
      <c r="X50" s="250"/>
      <c r="Y50" s="250"/>
    </row>
    <row r="51" spans="1:25" ht="15.25" customHeight="1">
      <c r="A51" s="119" t="s">
        <v>9</v>
      </c>
      <c r="B51" s="117" t="s">
        <v>50</v>
      </c>
      <c r="C51" s="118"/>
      <c r="D51" s="118"/>
      <c r="E51" s="45" t="s">
        <v>40</v>
      </c>
      <c r="F51" s="28">
        <f>0</f>
        <v>0</v>
      </c>
      <c r="G51" s="5">
        <v>0</v>
      </c>
      <c r="L51" s="119" t="s">
        <v>41</v>
      </c>
      <c r="N51" s="250"/>
      <c r="R51" s="250"/>
      <c r="S51" s="457"/>
      <c r="T51" s="250"/>
      <c r="U51" s="250"/>
      <c r="V51" s="250"/>
      <c r="W51" s="250"/>
      <c r="X51" s="250"/>
      <c r="Y51" s="250"/>
    </row>
    <row r="52" spans="1:25" ht="15.25" customHeight="1">
      <c r="A52" s="119" t="s">
        <v>14</v>
      </c>
      <c r="B52" s="117">
        <f>B46-$F$48</f>
        <v>6</v>
      </c>
      <c r="C52" s="10">
        <v>6</v>
      </c>
      <c r="D52" s="128" t="s">
        <v>25</v>
      </c>
      <c r="E52" s="32"/>
      <c r="F52" s="21">
        <f>SIN(PI()*(C53)/180)</f>
        <v>0.10452846326765346</v>
      </c>
      <c r="G52" s="22">
        <f>COS(PI()*C53/180)</f>
        <v>0.99452189536827329</v>
      </c>
      <c r="N52" s="250"/>
      <c r="R52" s="250"/>
      <c r="S52" s="457"/>
      <c r="T52" s="250"/>
      <c r="U52" s="250"/>
      <c r="V52" s="250"/>
      <c r="W52" s="250"/>
      <c r="X52" s="250"/>
      <c r="Y52" s="250"/>
    </row>
    <row r="53" spans="1:25" ht="15.25" customHeight="1">
      <c r="A53" s="119" t="s">
        <v>21</v>
      </c>
      <c r="B53" s="117">
        <f>B47-$F$48</f>
        <v>6</v>
      </c>
      <c r="C53" s="10">
        <v>6</v>
      </c>
      <c r="D53" s="41" t="s">
        <v>26</v>
      </c>
      <c r="F53" s="9">
        <f>0</f>
        <v>0</v>
      </c>
      <c r="G53" s="5">
        <v>0</v>
      </c>
      <c r="N53" s="250"/>
      <c r="R53" s="250"/>
      <c r="S53" s="457"/>
      <c r="T53" s="250"/>
      <c r="U53" s="250"/>
      <c r="V53" s="250"/>
      <c r="W53" s="250"/>
      <c r="X53" s="250"/>
      <c r="Y53" s="250"/>
    </row>
    <row r="54" spans="1:25" ht="15.25" customHeight="1">
      <c r="A54" s="119" t="s">
        <v>5</v>
      </c>
      <c r="B54" s="117">
        <f>B48-$F$48</f>
        <v>58</v>
      </c>
      <c r="C54" s="10">
        <v>58</v>
      </c>
      <c r="D54" s="41" t="s">
        <v>27</v>
      </c>
      <c r="F54" s="21">
        <f>-SIN(PI()*(C54)/180)</f>
        <v>-0.84804809615642596</v>
      </c>
      <c r="G54" s="22">
        <f>-COS(PI()*C54/180)</f>
        <v>-0.5299192642332049</v>
      </c>
      <c r="R54" s="250"/>
      <c r="S54" s="457"/>
      <c r="T54" s="250"/>
      <c r="U54" s="250"/>
      <c r="V54" s="250"/>
      <c r="W54" s="250"/>
      <c r="X54" s="250"/>
      <c r="Y54" s="250"/>
    </row>
    <row r="55" spans="1:25" ht="15.25" customHeight="1">
      <c r="A55" s="119" t="s">
        <v>7</v>
      </c>
      <c r="B55" s="117">
        <f>B49-$F$48</f>
        <v>58</v>
      </c>
      <c r="C55" s="10">
        <v>58</v>
      </c>
      <c r="D55" s="42" t="s">
        <v>28</v>
      </c>
      <c r="E55" s="25"/>
      <c r="F55" s="9">
        <f>0</f>
        <v>0</v>
      </c>
      <c r="G55" s="5">
        <v>0</v>
      </c>
      <c r="R55" s="250"/>
      <c r="S55" s="457"/>
      <c r="T55" s="250"/>
      <c r="U55" s="250"/>
      <c r="V55" s="250"/>
      <c r="W55" s="250"/>
      <c r="X55" s="250"/>
      <c r="Y55" s="250"/>
    </row>
    <row r="56" spans="1:25" ht="17">
      <c r="B56" s="117" t="s">
        <v>50</v>
      </c>
      <c r="C56" s="78" t="s">
        <v>52</v>
      </c>
      <c r="F56" s="33">
        <f>SIN(PI()*C55/180)</f>
        <v>0.84804809615642596</v>
      </c>
      <c r="G56" s="27">
        <f>-COS(PI()*C55/180)</f>
        <v>-0.5299192642332049</v>
      </c>
      <c r="R56" s="250"/>
      <c r="S56" s="457"/>
      <c r="T56" s="250"/>
      <c r="U56" s="250"/>
      <c r="V56" s="250"/>
      <c r="W56" s="250"/>
      <c r="X56" s="250"/>
      <c r="Y56" s="250"/>
    </row>
    <row r="57" spans="1:25" ht="17">
      <c r="B57" s="12" t="s">
        <v>580</v>
      </c>
      <c r="C57" s="340">
        <f>(G59-G58)/2</f>
        <v>116</v>
      </c>
      <c r="D57" s="103" t="s">
        <v>33</v>
      </c>
      <c r="E57" s="60"/>
      <c r="F57" s="61">
        <f>180-C55</f>
        <v>122</v>
      </c>
      <c r="G57" s="62"/>
      <c r="R57" s="250"/>
      <c r="S57" s="457"/>
      <c r="T57" s="250"/>
      <c r="U57" s="250"/>
      <c r="V57" s="250"/>
      <c r="W57" s="250"/>
      <c r="X57" s="250"/>
      <c r="Y57" s="250"/>
    </row>
    <row r="58" spans="1:25" ht="17">
      <c r="A58" s="9"/>
      <c r="B58" s="12" t="s">
        <v>591</v>
      </c>
      <c r="C58" s="341">
        <f>C46+C47</f>
        <v>49</v>
      </c>
      <c r="D58" s="129" t="s">
        <v>33</v>
      </c>
      <c r="F58" s="64">
        <f>360-C52</f>
        <v>354</v>
      </c>
      <c r="G58" s="63">
        <f>(F57+F59)/2</f>
        <v>244</v>
      </c>
      <c r="R58" s="250"/>
      <c r="S58" s="457"/>
      <c r="T58" s="250"/>
      <c r="U58" s="250"/>
      <c r="V58" s="250"/>
      <c r="W58" s="250"/>
      <c r="X58" s="250"/>
      <c r="Y58" s="250"/>
    </row>
    <row r="59" spans="1:25" ht="16" thickBot="1">
      <c r="A59" s="256"/>
      <c r="B59" s="253"/>
      <c r="C59" s="257"/>
      <c r="D59" s="253"/>
      <c r="F59" s="64">
        <f xml:space="preserve"> 360+C53</f>
        <v>366</v>
      </c>
      <c r="G59" s="63">
        <f>(F58+F60)/2</f>
        <v>476</v>
      </c>
      <c r="R59" s="250"/>
      <c r="S59" s="457"/>
      <c r="T59" s="250"/>
      <c r="U59" s="250"/>
      <c r="V59" s="250"/>
      <c r="W59" s="250"/>
      <c r="X59" s="250"/>
      <c r="Y59" s="250"/>
    </row>
    <row r="60" spans="1:25">
      <c r="A60" s="258"/>
      <c r="B60" s="258"/>
      <c r="C60" s="258"/>
      <c r="D60" s="259"/>
      <c r="F60" s="65">
        <f>540+C54</f>
        <v>598</v>
      </c>
      <c r="G60" s="58"/>
      <c r="R60" s="250"/>
      <c r="S60" s="457"/>
      <c r="T60" s="250"/>
      <c r="U60" s="250"/>
      <c r="V60" s="250"/>
      <c r="W60" s="250"/>
      <c r="X60" s="250"/>
      <c r="Y60" s="250"/>
    </row>
    <row r="61" spans="1:25" ht="21">
      <c r="B61" s="262" t="s">
        <v>573</v>
      </c>
      <c r="D61" s="260"/>
      <c r="R61" s="250"/>
      <c r="S61" s="457"/>
      <c r="T61" s="250"/>
      <c r="U61" s="250"/>
      <c r="V61" s="250"/>
      <c r="W61" s="250"/>
      <c r="X61" s="250"/>
      <c r="Y61" s="250"/>
    </row>
    <row r="62" spans="1:25" ht="18" thickBot="1">
      <c r="B62" s="117" t="s">
        <v>628</v>
      </c>
      <c r="C62" s="115"/>
      <c r="D62" s="260"/>
      <c r="R62" s="250"/>
      <c r="S62" s="457"/>
      <c r="T62" s="250"/>
      <c r="U62" s="250"/>
      <c r="V62" s="250"/>
      <c r="W62" s="250"/>
      <c r="X62" s="250"/>
      <c r="Y62" s="250"/>
    </row>
    <row r="63" spans="1:25" ht="18">
      <c r="A63" s="271" t="s">
        <v>571</v>
      </c>
      <c r="C63" s="452">
        <v>0.9</v>
      </c>
      <c r="D63" s="306" t="s">
        <v>708</v>
      </c>
      <c r="M63" s="406"/>
      <c r="N63" s="258"/>
      <c r="O63" s="258"/>
      <c r="P63" s="258"/>
      <c r="Q63" s="258"/>
      <c r="R63" s="362"/>
      <c r="S63" s="250"/>
      <c r="W63" s="250"/>
      <c r="X63" s="250"/>
      <c r="Y63" s="250"/>
    </row>
    <row r="64" spans="1:25" ht="17">
      <c r="A64" s="12" t="s">
        <v>607</v>
      </c>
      <c r="B64" s="10">
        <v>8</v>
      </c>
      <c r="C64" s="119" t="s">
        <v>19</v>
      </c>
      <c r="D64" s="306" t="s">
        <v>598</v>
      </c>
      <c r="M64" s="325"/>
      <c r="R64" s="250"/>
      <c r="S64" s="250"/>
      <c r="W64" s="250"/>
      <c r="X64" s="250"/>
      <c r="Y64" s="250"/>
    </row>
    <row r="65" spans="1:25" ht="16" customHeight="1" thickBot="1">
      <c r="A65" s="12" t="s">
        <v>570</v>
      </c>
      <c r="B65" s="318">
        <f>0.51*B7</f>
        <v>31.62</v>
      </c>
      <c r="C65" s="119" t="s">
        <v>19</v>
      </c>
      <c r="D65" s="317">
        <v>31</v>
      </c>
      <c r="H65" s="12" t="s">
        <v>44</v>
      </c>
      <c r="M65" s="325"/>
      <c r="R65" s="250"/>
      <c r="S65" s="250"/>
      <c r="W65" s="250"/>
      <c r="X65" s="250"/>
      <c r="Y65" s="250"/>
    </row>
    <row r="66" spans="1:25" ht="17" customHeight="1">
      <c r="A66" s="12" t="s">
        <v>484</v>
      </c>
      <c r="B66" s="270">
        <f>C63*B65</f>
        <v>28.458000000000002</v>
      </c>
      <c r="C66" s="119" t="s">
        <v>19</v>
      </c>
      <c r="D66" s="350">
        <f>C63*D65</f>
        <v>27.900000000000002</v>
      </c>
      <c r="E66" s="352"/>
      <c r="F66" s="352"/>
      <c r="G66" s="352"/>
      <c r="H66" s="352"/>
      <c r="I66" s="352"/>
      <c r="J66" s="352"/>
      <c r="K66" s="352"/>
      <c r="L66" s="352"/>
      <c r="M66" s="258"/>
      <c r="N66" s="258"/>
      <c r="O66" s="258"/>
      <c r="P66" s="258"/>
      <c r="Q66" s="258"/>
      <c r="R66" s="362"/>
      <c r="S66" s="362"/>
      <c r="T66" s="362"/>
      <c r="U66" s="362"/>
      <c r="V66" s="408"/>
      <c r="W66" s="412" t="s">
        <v>611</v>
      </c>
      <c r="X66" s="413"/>
      <c r="Y66" s="250"/>
    </row>
    <row r="67" spans="1:25" ht="17">
      <c r="A67" s="12" t="s">
        <v>596</v>
      </c>
      <c r="B67" s="270">
        <f>2*SQRT((B66/2)^2-(B64/2)^2)</f>
        <v>27.310396628390443</v>
      </c>
      <c r="C67" s="119" t="s">
        <v>19</v>
      </c>
      <c r="D67" s="350">
        <f>2*SQRT((D66/2)^2-(B64/2)^2)</f>
        <v>26.728449262910861</v>
      </c>
      <c r="I67" s="353"/>
      <c r="R67" s="250"/>
      <c r="S67" s="250"/>
      <c r="T67" s="250"/>
      <c r="U67" s="250"/>
      <c r="V67" s="414">
        <v>250</v>
      </c>
      <c r="W67" s="415" t="s">
        <v>433</v>
      </c>
      <c r="X67" s="328"/>
      <c r="Y67" s="250"/>
    </row>
    <row r="68" spans="1:25" ht="17">
      <c r="A68" s="12" t="s">
        <v>597</v>
      </c>
      <c r="B68" s="270">
        <f>B7-B65-B69</f>
        <v>5.5799999999999983</v>
      </c>
      <c r="C68" s="119" t="s">
        <v>19</v>
      </c>
      <c r="D68" s="179">
        <f>B7-D65-D69</f>
        <v>6</v>
      </c>
      <c r="I68" s="354"/>
      <c r="R68" s="250"/>
      <c r="S68" s="250"/>
      <c r="T68" s="250"/>
      <c r="U68" s="250"/>
      <c r="V68" s="416" t="s">
        <v>58</v>
      </c>
      <c r="W68" s="119" t="s">
        <v>610</v>
      </c>
      <c r="X68" s="417" t="s">
        <v>609</v>
      </c>
      <c r="Y68" s="250"/>
    </row>
    <row r="69" spans="1:25" ht="16" customHeight="1">
      <c r="A69" s="12" t="s">
        <v>572</v>
      </c>
      <c r="B69" s="318">
        <f>0.4*B7</f>
        <v>24.8</v>
      </c>
      <c r="C69" s="119" t="s">
        <v>19</v>
      </c>
      <c r="D69" s="351">
        <v>25</v>
      </c>
      <c r="I69" s="355"/>
      <c r="R69" s="250"/>
      <c r="S69" s="250"/>
      <c r="T69" s="250"/>
      <c r="U69" s="250"/>
      <c r="V69" s="414">
        <v>2000</v>
      </c>
      <c r="W69" s="418">
        <f>V69*$B$8/152.4</f>
        <v>813.64829396325456</v>
      </c>
      <c r="X69" s="419">
        <f>V69*PI()*$B$8/304.8</f>
        <v>1278.0757514604145</v>
      </c>
      <c r="Y69" s="250"/>
    </row>
    <row r="70" spans="1:25" ht="17">
      <c r="A70" s="12" t="s">
        <v>485</v>
      </c>
      <c r="B70" s="270">
        <f>C63*B69</f>
        <v>22.32</v>
      </c>
      <c r="C70" s="119" t="s">
        <v>19</v>
      </c>
      <c r="D70" s="350">
        <f>C63*D69</f>
        <v>22.5</v>
      </c>
      <c r="I70" s="353"/>
      <c r="R70" s="250"/>
      <c r="S70" s="250"/>
      <c r="T70" s="250"/>
      <c r="U70" s="250"/>
      <c r="V70" s="420">
        <f t="shared" ref="V70:V99" si="0">V69+$V$67</f>
        <v>2250</v>
      </c>
      <c r="W70" s="418">
        <f>V70*$B$8/152.4</f>
        <v>915.35433070866134</v>
      </c>
      <c r="X70" s="419">
        <f>V70*PI()*$B$8/304.8</f>
        <v>1437.8352203929664</v>
      </c>
      <c r="Y70" s="250"/>
    </row>
    <row r="71" spans="1:25" ht="17">
      <c r="A71" s="12" t="s">
        <v>596</v>
      </c>
      <c r="B71" s="270">
        <f>2*SQRT((B70/2)^2-(B64/2)^2)</f>
        <v>20.837043936220898</v>
      </c>
      <c r="C71" s="119" t="s">
        <v>19</v>
      </c>
      <c r="D71" s="350">
        <f>2*SQRT((D70/2)^2-(B64/2)^2)</f>
        <v>21.029740844813091</v>
      </c>
      <c r="I71" s="354"/>
      <c r="R71" s="250"/>
      <c r="S71" s="250"/>
      <c r="T71" s="250"/>
      <c r="U71" s="250"/>
      <c r="V71" s="420">
        <f t="shared" si="0"/>
        <v>2500</v>
      </c>
      <c r="W71" s="418">
        <f>V71*$B$8/152.4</f>
        <v>1017.0603674540682</v>
      </c>
      <c r="X71" s="419">
        <f>V71*PI()*$B$8/304.8</f>
        <v>1597.5946893255182</v>
      </c>
      <c r="Y71" s="250"/>
    </row>
    <row r="72" spans="1:25" ht="17">
      <c r="A72" s="12" t="s">
        <v>608</v>
      </c>
      <c r="B72" s="313">
        <f>(B71/B67)^2</f>
        <v>0.58212493179865876</v>
      </c>
      <c r="C72" s="119" t="s">
        <v>442</v>
      </c>
      <c r="D72" s="311">
        <f>(D71/D67)^2</f>
        <v>0.61904228664212413</v>
      </c>
      <c r="I72" s="355"/>
      <c r="R72" s="250"/>
      <c r="S72" s="250"/>
      <c r="T72" s="250"/>
      <c r="U72" s="250"/>
      <c r="V72" s="420">
        <f t="shared" si="0"/>
        <v>2750</v>
      </c>
      <c r="W72" s="418">
        <f>V72*$B$8/152.4</f>
        <v>1118.7664041994751</v>
      </c>
      <c r="X72" s="419">
        <f>V72*PI()*$B$8/304.8</f>
        <v>1757.3541582580699</v>
      </c>
      <c r="Y72" s="250"/>
    </row>
    <row r="73" spans="1:25" ht="17" customHeight="1">
      <c r="B73" s="320" t="s">
        <v>612</v>
      </c>
      <c r="D73" s="322" t="s">
        <v>613</v>
      </c>
      <c r="R73" s="250"/>
      <c r="S73" s="250"/>
      <c r="T73" s="250"/>
      <c r="U73" s="250"/>
      <c r="V73" s="420">
        <f t="shared" si="0"/>
        <v>3000</v>
      </c>
      <c r="W73" s="418">
        <f t="shared" ref="W73:W99" si="1">V73*$B$8/152.4</f>
        <v>1220.4724409448818</v>
      </c>
      <c r="X73" s="419">
        <f t="shared" ref="X73:X99" si="2">V73*PI()*$B$8/304.8</f>
        <v>1917.1136271906219</v>
      </c>
      <c r="Y73" s="250"/>
    </row>
    <row r="74" spans="1:25" ht="17">
      <c r="A74" s="12" t="s">
        <v>671</v>
      </c>
      <c r="B74" s="270">
        <f>C74*B26/B66</f>
        <v>9.1756065434405407</v>
      </c>
      <c r="C74" s="473">
        <f>13.95*C63</f>
        <v>12.555</v>
      </c>
      <c r="D74" s="179">
        <f>C74*B26/D66</f>
        <v>9.359118674309352</v>
      </c>
      <c r="R74" s="250"/>
      <c r="S74" s="250"/>
      <c r="T74" s="250"/>
      <c r="U74" s="250"/>
      <c r="V74" s="420">
        <f t="shared" si="0"/>
        <v>3250</v>
      </c>
      <c r="W74" s="418">
        <f t="shared" si="1"/>
        <v>1322.1784776902887</v>
      </c>
      <c r="X74" s="419">
        <f t="shared" si="2"/>
        <v>2076.8730961231736</v>
      </c>
      <c r="Y74" s="250"/>
    </row>
    <row r="75" spans="1:25" ht="18" customHeight="1">
      <c r="A75" s="368" t="s">
        <v>646</v>
      </c>
      <c r="B75" s="269" t="str">
        <f>CONCATENATE("~ ",ROUND(B76+1.1642*(28.1957-B74)-IF(B74&lt;20,(20-B74)/G97,0)-IF(B74&lt;14,(14-B74)/H97,0)+(10-B22)/H95,1)," °")</f>
        <v>~ 117.3 °</v>
      </c>
      <c r="C75" s="12" t="s">
        <v>604</v>
      </c>
      <c r="D75" s="195" t="str">
        <f>CONCATENATE(ROUND(B76+1.1642*(28.1957-D74)-IF(D74&lt;20,(20-D74)/G97,0)-IF(D74&lt;14,(14-D74)/H97,0)+(10-B22)/H95,1)," °")</f>
        <v>117.2 °</v>
      </c>
      <c r="R75" s="250"/>
      <c r="S75" s="250"/>
      <c r="T75" s="250"/>
      <c r="U75" s="250"/>
      <c r="V75" s="420">
        <f t="shared" si="0"/>
        <v>3500</v>
      </c>
      <c r="W75" s="418">
        <f t="shared" si="1"/>
        <v>1423.8845144356956</v>
      </c>
      <c r="X75" s="419">
        <f t="shared" si="2"/>
        <v>2236.6325650557255</v>
      </c>
      <c r="Y75" s="250"/>
    </row>
    <row r="76" spans="1:25" ht="17">
      <c r="A76" s="12" t="s">
        <v>644</v>
      </c>
      <c r="B76" s="10">
        <v>99</v>
      </c>
      <c r="C76" s="321" t="s">
        <v>632</v>
      </c>
      <c r="R76" s="250"/>
      <c r="S76" s="250"/>
      <c r="T76" s="250"/>
      <c r="U76" s="250"/>
      <c r="V76" s="420">
        <f t="shared" si="0"/>
        <v>3750</v>
      </c>
      <c r="W76" s="418">
        <f t="shared" si="1"/>
        <v>1525.5905511811022</v>
      </c>
      <c r="X76" s="419">
        <f t="shared" si="2"/>
        <v>2396.3920339882775</v>
      </c>
      <c r="Y76" s="250"/>
    </row>
    <row r="77" spans="1:25" ht="16" customHeight="1">
      <c r="C77" s="329" t="s">
        <v>599</v>
      </c>
      <c r="R77" s="250"/>
      <c r="S77" s="250"/>
      <c r="T77" s="250"/>
      <c r="U77" s="250"/>
      <c r="V77" s="420">
        <f t="shared" si="0"/>
        <v>4000</v>
      </c>
      <c r="W77" s="418">
        <f t="shared" si="1"/>
        <v>1627.2965879265091</v>
      </c>
      <c r="X77" s="419">
        <f t="shared" si="2"/>
        <v>2556.151502920829</v>
      </c>
      <c r="Y77" s="250"/>
    </row>
    <row r="78" spans="1:25" ht="18" customHeight="1">
      <c r="R78" s="250"/>
      <c r="S78" s="250"/>
      <c r="T78" s="250"/>
      <c r="U78" s="250"/>
      <c r="V78" s="420">
        <f t="shared" si="0"/>
        <v>4250</v>
      </c>
      <c r="W78" s="418">
        <f t="shared" si="1"/>
        <v>1729.002624671916</v>
      </c>
      <c r="X78" s="419">
        <f t="shared" si="2"/>
        <v>2715.9109718533809</v>
      </c>
      <c r="Y78" s="250"/>
    </row>
    <row r="79" spans="1:25" ht="18">
      <c r="A79" s="282" t="s">
        <v>569</v>
      </c>
      <c r="D79" s="440"/>
      <c r="R79" s="250"/>
      <c r="S79" s="250"/>
      <c r="T79" s="250"/>
      <c r="U79" s="250"/>
      <c r="V79" s="420">
        <f t="shared" si="0"/>
        <v>4500</v>
      </c>
      <c r="W79" s="418">
        <f t="shared" si="1"/>
        <v>1830.7086614173227</v>
      </c>
      <c r="X79" s="419">
        <f t="shared" si="2"/>
        <v>2875.6704407859329</v>
      </c>
      <c r="Y79" s="250"/>
    </row>
    <row r="80" spans="1:25" ht="17">
      <c r="A80" s="12" t="s">
        <v>607</v>
      </c>
      <c r="B80" s="10">
        <v>7</v>
      </c>
      <c r="C80" s="119" t="s">
        <v>19</v>
      </c>
      <c r="D80" s="115" t="s">
        <v>598</v>
      </c>
      <c r="R80" s="250"/>
      <c r="S80" s="250"/>
      <c r="T80" s="250"/>
      <c r="U80" s="250"/>
      <c r="V80" s="420">
        <f t="shared" si="0"/>
        <v>4750</v>
      </c>
      <c r="W80" s="418">
        <f t="shared" si="1"/>
        <v>1932.4146981627296</v>
      </c>
      <c r="X80" s="419">
        <f t="shared" si="2"/>
        <v>3035.4299097184844</v>
      </c>
      <c r="Y80" s="250"/>
    </row>
    <row r="81" spans="1:25" ht="17">
      <c r="A81" s="12" t="s">
        <v>570</v>
      </c>
      <c r="B81" s="319">
        <f>0.96*B65</f>
        <v>30.3552</v>
      </c>
      <c r="C81" s="119" t="s">
        <v>19</v>
      </c>
      <c r="D81" s="351">
        <v>29</v>
      </c>
      <c r="R81" s="250"/>
      <c r="S81" s="250"/>
      <c r="T81" s="250"/>
      <c r="U81" s="250"/>
      <c r="V81" s="420">
        <f t="shared" si="0"/>
        <v>5000</v>
      </c>
      <c r="W81" s="418">
        <f t="shared" si="1"/>
        <v>2034.1207349081365</v>
      </c>
      <c r="X81" s="419">
        <f t="shared" si="2"/>
        <v>3195.1893786510363</v>
      </c>
      <c r="Y81" s="250"/>
    </row>
    <row r="82" spans="1:25" ht="17" customHeight="1">
      <c r="A82" s="12" t="s">
        <v>484</v>
      </c>
      <c r="B82" s="283">
        <f>B81-5.5</f>
        <v>24.8552</v>
      </c>
      <c r="C82" s="119" t="s">
        <v>19</v>
      </c>
      <c r="D82" s="350">
        <f>D81-5.5</f>
        <v>23.5</v>
      </c>
      <c r="R82" s="250"/>
      <c r="S82" s="250"/>
      <c r="T82" s="250"/>
      <c r="U82" s="250"/>
      <c r="V82" s="420">
        <f t="shared" si="0"/>
        <v>5250</v>
      </c>
      <c r="W82" s="418">
        <f t="shared" si="1"/>
        <v>2135.8267716535433</v>
      </c>
      <c r="X82" s="419">
        <f t="shared" si="2"/>
        <v>3354.9488475835878</v>
      </c>
      <c r="Y82" s="250"/>
    </row>
    <row r="83" spans="1:25" ht="17">
      <c r="A83" s="12" t="s">
        <v>596</v>
      </c>
      <c r="B83" s="283">
        <f>2*SQRT((B82/2)^2-(B80/2)^2)</f>
        <v>23.849129272155828</v>
      </c>
      <c r="C83" s="119" t="s">
        <v>19</v>
      </c>
      <c r="D83" s="350">
        <f>2*SQRT((D82/2)^2-(B80/2)^2)</f>
        <v>22.433234274174556</v>
      </c>
      <c r="R83" s="250"/>
      <c r="S83" s="250"/>
      <c r="T83" s="250"/>
      <c r="U83" s="250"/>
      <c r="V83" s="420">
        <f t="shared" si="0"/>
        <v>5500</v>
      </c>
      <c r="W83" s="418">
        <f t="shared" si="1"/>
        <v>2237.5328083989502</v>
      </c>
      <c r="X83" s="419">
        <f t="shared" si="2"/>
        <v>3514.7083165161398</v>
      </c>
      <c r="Y83" s="250"/>
    </row>
    <row r="84" spans="1:25" ht="18" thickBot="1">
      <c r="A84" s="12" t="s">
        <v>597</v>
      </c>
      <c r="B84" s="283">
        <f>B7-B81-B85</f>
        <v>7.3408000000000015</v>
      </c>
      <c r="C84" s="119" t="s">
        <v>19</v>
      </c>
      <c r="D84" s="179">
        <f>B7-D81-D85</f>
        <v>9</v>
      </c>
      <c r="L84" s="260"/>
      <c r="R84" s="250"/>
      <c r="S84" s="250"/>
      <c r="T84" s="250"/>
      <c r="U84" s="250"/>
      <c r="V84" s="420">
        <f t="shared" si="0"/>
        <v>5750</v>
      </c>
      <c r="W84" s="418">
        <f t="shared" si="1"/>
        <v>2339.2388451443567</v>
      </c>
      <c r="X84" s="419">
        <f t="shared" si="2"/>
        <v>3674.4677854486918</v>
      </c>
    </row>
    <row r="85" spans="1:25" ht="18" thickBot="1">
      <c r="A85" s="12" t="s">
        <v>572</v>
      </c>
      <c r="B85" s="319">
        <f>0.98*B69</f>
        <v>24.303999999999998</v>
      </c>
      <c r="C85" s="119" t="s">
        <v>19</v>
      </c>
      <c r="D85" s="351">
        <v>24</v>
      </c>
      <c r="F85" s="408"/>
      <c r="G85" s="409" t="s">
        <v>649</v>
      </c>
      <c r="H85" s="410"/>
      <c r="I85" s="425" t="s">
        <v>678</v>
      </c>
      <c r="K85" s="384" t="s">
        <v>660</v>
      </c>
      <c r="L85" s="385" t="s">
        <v>659</v>
      </c>
      <c r="R85" s="250"/>
      <c r="S85" s="250"/>
      <c r="T85" s="250"/>
      <c r="U85" s="250"/>
      <c r="V85" s="420">
        <f t="shared" si="0"/>
        <v>6000</v>
      </c>
      <c r="W85" s="418">
        <f t="shared" si="1"/>
        <v>2440.9448818897636</v>
      </c>
      <c r="X85" s="419">
        <f t="shared" si="2"/>
        <v>3834.2272543812437</v>
      </c>
    </row>
    <row r="86" spans="1:25" ht="17" customHeight="1" thickBot="1">
      <c r="A86" s="12" t="s">
        <v>485</v>
      </c>
      <c r="B86" s="283">
        <f>B85-5.5</f>
        <v>18.803999999999998</v>
      </c>
      <c r="C86" s="119" t="s">
        <v>19</v>
      </c>
      <c r="D86" s="287">
        <f>D85-5.5</f>
        <v>18.5</v>
      </c>
      <c r="E86" s="369" t="str">
        <f>CONCATENATE("   K +1.164 × (28.196-Cham.cc÷ITD)")</f>
        <v xml:space="preserve">   K +1.164 × (28.196-Cham.cc÷ITD)</v>
      </c>
      <c r="F86" s="323"/>
      <c r="G86" s="411"/>
      <c r="H86" s="407"/>
      <c r="I86" s="426" t="s">
        <v>677</v>
      </c>
      <c r="J86" s="253"/>
      <c r="K86" s="386" t="s">
        <v>661</v>
      </c>
      <c r="L86" s="397">
        <v>28.195699999999999</v>
      </c>
      <c r="R86" s="250"/>
      <c r="S86" s="250"/>
      <c r="T86" s="250"/>
      <c r="U86" s="250"/>
      <c r="V86" s="420">
        <f t="shared" si="0"/>
        <v>6250</v>
      </c>
      <c r="W86" s="418">
        <f t="shared" si="1"/>
        <v>2542.6509186351705</v>
      </c>
      <c r="X86" s="419">
        <f t="shared" si="2"/>
        <v>3993.9867233137952</v>
      </c>
    </row>
    <row r="87" spans="1:25" ht="18" thickBot="1">
      <c r="A87" s="12" t="s">
        <v>596</v>
      </c>
      <c r="B87" s="283">
        <f>2*SQRT((B86/2)^2-(B80/2)^2)</f>
        <v>17.452518901293303</v>
      </c>
      <c r="C87" s="119" t="s">
        <v>19</v>
      </c>
      <c r="D87" s="287">
        <f>2*SQRT((D86/2)^2-(B80/2)^2)</f>
        <v>17.124543789543708</v>
      </c>
      <c r="E87" s="321" t="s">
        <v>616</v>
      </c>
      <c r="H87" s="260"/>
      <c r="K87" s="377">
        <v>100</v>
      </c>
      <c r="L87" s="378" t="s">
        <v>653</v>
      </c>
      <c r="R87" s="250"/>
      <c r="S87" s="250"/>
      <c r="T87" s="250"/>
      <c r="U87" s="250"/>
      <c r="V87" s="420">
        <f t="shared" si="0"/>
        <v>6500</v>
      </c>
      <c r="W87" s="418">
        <f t="shared" si="1"/>
        <v>2644.3569553805773</v>
      </c>
      <c r="X87" s="419">
        <f t="shared" si="2"/>
        <v>4153.7461922463472</v>
      </c>
    </row>
    <row r="88" spans="1:25" ht="16" customHeight="1">
      <c r="A88" s="12" t="s">
        <v>608</v>
      </c>
      <c r="B88" s="314">
        <f>(B87/B83)^2</f>
        <v>0.53551443112648911</v>
      </c>
      <c r="C88" s="59" t="s">
        <v>442</v>
      </c>
      <c r="D88" s="311">
        <f>(D87/D83)^2</f>
        <v>0.58271236959761541</v>
      </c>
      <c r="E88" s="366">
        <v>99</v>
      </c>
      <c r="F88" s="263" t="s">
        <v>614</v>
      </c>
      <c r="G88" s="258"/>
      <c r="H88" s="381"/>
      <c r="K88" s="379">
        <f>L86</f>
        <v>28.195699999999999</v>
      </c>
      <c r="L88" s="378" t="s">
        <v>654</v>
      </c>
      <c r="R88" s="250"/>
      <c r="S88" s="250"/>
      <c r="T88" s="250"/>
      <c r="U88" s="250"/>
      <c r="V88" s="420">
        <f t="shared" si="0"/>
        <v>6750</v>
      </c>
      <c r="W88" s="418">
        <f t="shared" si="1"/>
        <v>2746.0629921259842</v>
      </c>
      <c r="X88" s="419">
        <f t="shared" si="2"/>
        <v>4313.5056611788987</v>
      </c>
    </row>
    <row r="89" spans="1:25" ht="16" customHeight="1">
      <c r="B89" s="320" t="s">
        <v>612</v>
      </c>
      <c r="D89" s="322" t="s">
        <v>613</v>
      </c>
      <c r="E89" s="366">
        <v>99</v>
      </c>
      <c r="F89" s="195" t="s">
        <v>667</v>
      </c>
      <c r="H89" s="382">
        <v>127</v>
      </c>
      <c r="K89" s="377">
        <v>10</v>
      </c>
      <c r="L89" s="380" t="s">
        <v>656</v>
      </c>
      <c r="R89" s="250"/>
      <c r="S89" s="250"/>
      <c r="T89" s="250"/>
      <c r="U89" s="250"/>
      <c r="V89" s="420">
        <f t="shared" si="0"/>
        <v>7000</v>
      </c>
      <c r="W89" s="418">
        <f t="shared" si="1"/>
        <v>2847.7690288713911</v>
      </c>
      <c r="X89" s="419">
        <f t="shared" si="2"/>
        <v>4473.2651301114511</v>
      </c>
    </row>
    <row r="90" spans="1:25" ht="17" customHeight="1" thickBot="1">
      <c r="A90" s="12" t="s">
        <v>671</v>
      </c>
      <c r="B90" s="283">
        <f>C90*B26/B82</f>
        <v>10.505625020648836</v>
      </c>
      <c r="C90" s="474">
        <f>C74</f>
        <v>12.555</v>
      </c>
      <c r="D90" s="179">
        <f>C90*B26/D82</f>
        <v>11.11146429843536</v>
      </c>
      <c r="E90" s="366">
        <v>100</v>
      </c>
      <c r="F90" s="118" t="s">
        <v>670</v>
      </c>
      <c r="H90" s="382">
        <v>128</v>
      </c>
      <c r="J90" s="173"/>
      <c r="K90" s="424" t="str">
        <f>CONCATENATE(" ",ROUND(K87+1.1642*(28.1957-K88)-IF(K88&lt;20,(20-K88)/G97,0)-IF(K88&lt;14,(14-K88)/H97,0)+K89-10,1)," °")</f>
        <v xml:space="preserve"> 100 °</v>
      </c>
      <c r="L90" s="380" t="s">
        <v>627</v>
      </c>
      <c r="M90" s="253"/>
      <c r="N90" s="253"/>
      <c r="O90" s="253"/>
      <c r="P90" s="253"/>
      <c r="Q90" s="253"/>
      <c r="R90" s="374"/>
      <c r="S90" s="374"/>
      <c r="T90" s="374"/>
      <c r="U90" s="374"/>
      <c r="V90" s="420">
        <f t="shared" si="0"/>
        <v>7250</v>
      </c>
      <c r="W90" s="418">
        <f t="shared" si="1"/>
        <v>2949.4750656167976</v>
      </c>
      <c r="X90" s="419">
        <f t="shared" si="2"/>
        <v>4633.0245990440026</v>
      </c>
    </row>
    <row r="91" spans="1:25" ht="17" customHeight="1" thickBot="1">
      <c r="A91" s="368" t="s">
        <v>646</v>
      </c>
      <c r="B91" s="283" t="str">
        <f>CONCATENATE("~ ",ROUND(B92+1.1642*(28.1957-B90)-IF(B90&lt;20,(20-B90)/G97,0)-IF(B90&lt;14,(14-B90)/H97,0)+(10-B22)/H95,1)," °")</f>
        <v>~ 116.4 °</v>
      </c>
      <c r="C91" s="12" t="s">
        <v>604</v>
      </c>
      <c r="D91" s="179" t="str">
        <f>CONCATENATE( ROUND(B92+1.1642*(28.1957-D90)-IF(D90&lt;20,(20-D90)/G97,0)-IF(D90&lt;14,(14-D90)/H97,0)+(10-B22)/H95,1)," °")</f>
        <v>116 °</v>
      </c>
      <c r="E91" s="366">
        <v>104</v>
      </c>
      <c r="F91" s="195" t="s">
        <v>669</v>
      </c>
      <c r="H91" s="382">
        <v>132</v>
      </c>
      <c r="I91" s="403" t="s">
        <v>675</v>
      </c>
      <c r="J91" s="404"/>
      <c r="K91" s="253"/>
      <c r="L91" s="253"/>
      <c r="M91" s="253"/>
      <c r="N91" s="261"/>
      <c r="V91" s="420">
        <f t="shared" si="0"/>
        <v>7500</v>
      </c>
      <c r="W91" s="418">
        <f t="shared" si="1"/>
        <v>3051.1811023622045</v>
      </c>
      <c r="X91" s="419">
        <f t="shared" si="2"/>
        <v>4792.784067976555</v>
      </c>
    </row>
    <row r="92" spans="1:25" ht="17" customHeight="1" thickBot="1">
      <c r="A92" s="12" t="s">
        <v>644</v>
      </c>
      <c r="B92" s="10">
        <v>99</v>
      </c>
      <c r="C92" s="321" t="s">
        <v>633</v>
      </c>
      <c r="E92" s="367">
        <v>105</v>
      </c>
      <c r="F92" s="264" t="s">
        <v>668</v>
      </c>
      <c r="G92" s="253"/>
      <c r="H92" s="382">
        <v>133</v>
      </c>
      <c r="V92" s="420">
        <f t="shared" si="0"/>
        <v>7750</v>
      </c>
      <c r="W92" s="418">
        <f t="shared" si="1"/>
        <v>3152.8871391076113</v>
      </c>
      <c r="X92" s="419">
        <f t="shared" si="2"/>
        <v>4952.5435369091065</v>
      </c>
    </row>
    <row r="93" spans="1:25" ht="18" thickBot="1">
      <c r="C93" s="329" t="s">
        <v>599</v>
      </c>
      <c r="D93" s="260"/>
      <c r="F93" s="325"/>
      <c r="G93" s="342" t="s">
        <v>617</v>
      </c>
      <c r="H93" s="260"/>
      <c r="V93" s="420">
        <f t="shared" si="0"/>
        <v>8000</v>
      </c>
      <c r="W93" s="418">
        <f t="shared" si="1"/>
        <v>3254.5931758530182</v>
      </c>
      <c r="X93" s="419">
        <f t="shared" si="2"/>
        <v>5112.303005841658</v>
      </c>
    </row>
    <row r="94" spans="1:25" ht="18" thickBot="1">
      <c r="A94" s="253"/>
      <c r="B94" s="253"/>
      <c r="C94" s="253"/>
      <c r="D94" s="261"/>
      <c r="F94" s="326"/>
      <c r="G94" s="343" t="s">
        <v>657</v>
      </c>
      <c r="H94" s="327"/>
      <c r="V94" s="420">
        <f t="shared" si="0"/>
        <v>8250</v>
      </c>
      <c r="W94" s="418">
        <f t="shared" si="1"/>
        <v>3356.2992125984251</v>
      </c>
      <c r="X94" s="419">
        <f t="shared" si="2"/>
        <v>5272.0624747742104</v>
      </c>
    </row>
    <row r="95" spans="1:25" ht="17">
      <c r="A95" s="197" t="s">
        <v>631</v>
      </c>
      <c r="H95" s="401">
        <v>3</v>
      </c>
      <c r="I95" s="325"/>
      <c r="J95" s="121"/>
      <c r="K95" s="121"/>
      <c r="V95" s="420">
        <f t="shared" si="0"/>
        <v>8500</v>
      </c>
      <c r="W95" s="418">
        <f t="shared" si="1"/>
        <v>3458.005249343832</v>
      </c>
      <c r="X95" s="419">
        <f t="shared" si="2"/>
        <v>5431.8219437067619</v>
      </c>
    </row>
    <row r="96" spans="1:25" ht="17" customHeight="1">
      <c r="C96" s="196" t="s">
        <v>663</v>
      </c>
      <c r="G96" s="59"/>
      <c r="H96" s="400" t="s">
        <v>679</v>
      </c>
      <c r="I96" s="325"/>
      <c r="J96" s="400"/>
      <c r="K96" s="121"/>
      <c r="L96" s="196"/>
      <c r="V96" s="420">
        <f t="shared" si="0"/>
        <v>8750</v>
      </c>
      <c r="W96" s="418">
        <f t="shared" si="1"/>
        <v>3559.7112860892389</v>
      </c>
      <c r="X96" s="419">
        <f t="shared" si="2"/>
        <v>5591.5814126393134</v>
      </c>
    </row>
    <row r="97" spans="1:24" ht="19" customHeight="1">
      <c r="A97" s="115" t="s">
        <v>645</v>
      </c>
      <c r="F97" s="398" t="s">
        <v>666</v>
      </c>
      <c r="G97" s="396">
        <v>4.32</v>
      </c>
      <c r="H97" s="401">
        <v>3.63</v>
      </c>
      <c r="I97" s="325"/>
      <c r="J97" s="401"/>
      <c r="V97" s="420">
        <f t="shared" si="0"/>
        <v>9000</v>
      </c>
      <c r="W97" s="418">
        <f t="shared" si="1"/>
        <v>3661.4173228346453</v>
      </c>
      <c r="X97" s="419">
        <f t="shared" si="2"/>
        <v>5751.3408815718658</v>
      </c>
    </row>
    <row r="98" spans="1:24" ht="17">
      <c r="A98" s="197" t="s">
        <v>672</v>
      </c>
      <c r="B98" s="270"/>
      <c r="C98" s="324" t="s">
        <v>673</v>
      </c>
      <c r="D98" s="179"/>
      <c r="E98" s="324" t="s">
        <v>674</v>
      </c>
      <c r="G98" s="59" t="s">
        <v>665</v>
      </c>
      <c r="H98" s="400" t="s">
        <v>664</v>
      </c>
      <c r="I98" s="325"/>
      <c r="V98" s="420">
        <f t="shared" si="0"/>
        <v>9250</v>
      </c>
      <c r="W98" s="418">
        <f t="shared" si="1"/>
        <v>3763.1233595800522</v>
      </c>
      <c r="X98" s="419">
        <f t="shared" si="2"/>
        <v>5911.1003505044173</v>
      </c>
    </row>
    <row r="99" spans="1:24" ht="17">
      <c r="A99" s="195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25"/>
      <c r="V99" s="420">
        <f t="shared" si="0"/>
        <v>9500</v>
      </c>
      <c r="W99" s="418">
        <f t="shared" si="1"/>
        <v>3864.8293963254591</v>
      </c>
      <c r="X99" s="419">
        <f t="shared" si="2"/>
        <v>6070.8598194369688</v>
      </c>
    </row>
    <row r="100" spans="1:24" ht="18" thickBot="1">
      <c r="A100" s="402" t="s">
        <v>676</v>
      </c>
      <c r="B100" s="253"/>
      <c r="C100" s="253"/>
      <c r="D100" s="253"/>
      <c r="E100" s="472" t="str">
        <f>CONCATENATE(ROUND(C74,3),"=",C63,"×25.4×Cyl.CID÷Chamber.cc @ 10:1 CR")</f>
        <v>12.555=0.9×25.4×Cyl.CID÷Chamber.cc @ 10:1 CR</v>
      </c>
      <c r="F100" s="253"/>
      <c r="G100" s="253"/>
      <c r="H100" s="261"/>
      <c r="V100" s="421" t="s">
        <v>595</v>
      </c>
      <c r="W100" s="422" t="s">
        <v>594</v>
      </c>
      <c r="X100" s="423" t="s">
        <v>594</v>
      </c>
    </row>
    <row r="103" spans="1:24" ht="17">
      <c r="A103" s="195"/>
    </row>
  </sheetData>
  <phoneticPr fontId="35" type="noConversion"/>
  <conditionalFormatting sqref="W69:W99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V69:V99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W93:W99">
    <cfRule type="cellIs" dxfId="1" priority="4" operator="greaterThan">
      <formula>4500</formula>
    </cfRule>
  </conditionalFormatting>
  <conditionalFormatting sqref="X69:X99">
    <cfRule type="cellIs" dxfId="0" priority="2" operator="greaterThan">
      <formula>5500</formula>
    </cfRule>
  </conditionalFormatting>
  <hyperlinks>
    <hyperlink ref="G26" r:id="rId1"/>
    <hyperlink ref="I26" r:id="rId2"/>
    <hyperlink ref="I27" r:id="rId3"/>
    <hyperlink ref="K27" r:id="rId4"/>
    <hyperlink ref="G25" r:id="rId5"/>
    <hyperlink ref="N22" r:id="rId6"/>
    <hyperlink ref="N24" r:id="rId7"/>
    <hyperlink ref="N25" r:id="rId8"/>
    <hyperlink ref="N23" r:id="rId9"/>
    <hyperlink ref="N20" r:id="rId10"/>
    <hyperlink ref="N26" r:id="rId11"/>
    <hyperlink ref="P26" r:id="rId12"/>
    <hyperlink ref="P28" r:id="rId13"/>
    <hyperlink ref="P29" r:id="rId14"/>
    <hyperlink ref="N30" r:id="rId15"/>
    <hyperlink ref="O30" r:id="rId16"/>
    <hyperlink ref="N21" r:id="rId17"/>
    <hyperlink ref="Q21" r:id="rId18"/>
    <hyperlink ref="R22" r:id="rId19"/>
    <hyperlink ref="P24" r:id="rId20"/>
    <hyperlink ref="N19" r:id="rId21"/>
    <hyperlink ref="D15" r:id="rId22" display="88x82"/>
    <hyperlink ref="D16" r:id="rId23" display="86x86"/>
    <hyperlink ref="D17" r:id="rId24" display="92x86"/>
    <hyperlink ref="D19" r:id="rId25"/>
    <hyperlink ref="D18" r:id="rId26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15"/>
  <sheetViews>
    <sheetView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20.5703125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66" t="s">
        <v>605</v>
      </c>
      <c r="G2" s="155">
        <f>G3/25.4</f>
        <v>2.4409448818897639</v>
      </c>
      <c r="H2" s="153" t="s">
        <v>448</v>
      </c>
      <c r="K2" s="78"/>
    </row>
    <row r="3" spans="1:12">
      <c r="A3" s="90" t="s">
        <v>498</v>
      </c>
      <c r="F3" s="12" t="s">
        <v>89</v>
      </c>
      <c r="G3" s="156">
        <f>'Displacement &amp; Cam Protractor'!B7</f>
        <v>62</v>
      </c>
      <c r="H3" s="93">
        <f>PI()*G3^2*G4/4000</f>
        <v>187.18237348618706</v>
      </c>
      <c r="I3" s="11" t="s">
        <v>1</v>
      </c>
      <c r="K3" s="78"/>
    </row>
    <row r="4" spans="1:12">
      <c r="B4" s="40" t="s">
        <v>32</v>
      </c>
      <c r="F4" s="12" t="s">
        <v>90</v>
      </c>
      <c r="G4" s="156">
        <f>'Displacement &amp; Cam Protractor'!B8</f>
        <v>62</v>
      </c>
      <c r="H4" s="152">
        <f>'Displacement &amp; Cam Protractor'!C8</f>
        <v>11.422569258665682</v>
      </c>
      <c r="I4" s="11" t="s">
        <v>0</v>
      </c>
    </row>
    <row r="5" spans="1:12">
      <c r="G5" s="155">
        <f>G4/25.4</f>
        <v>2.4409448818897639</v>
      </c>
      <c r="H5" s="153" t="s">
        <v>448</v>
      </c>
    </row>
    <row r="7" spans="1:12">
      <c r="B7" s="187" t="s">
        <v>506</v>
      </c>
      <c r="F7" s="12" t="s">
        <v>22</v>
      </c>
      <c r="G7" s="156">
        <f>'Displacement &amp; Cam Protractor'!$B$13</f>
        <v>4</v>
      </c>
      <c r="K7" s="181"/>
      <c r="L7" s="182"/>
    </row>
    <row r="8" spans="1:12">
      <c r="A8" s="10">
        <v>14.696</v>
      </c>
      <c r="B8" s="91" t="s">
        <v>510</v>
      </c>
      <c r="F8" s="151" t="s">
        <v>447</v>
      </c>
      <c r="G8" s="157">
        <f>'Displacement &amp; Cam Protractor'!B14</f>
        <v>45.690277034662728</v>
      </c>
      <c r="H8" s="90" t="str">
        <f>'Displacement &amp; Cam Protractor'!C14</f>
        <v>in³</v>
      </c>
    </row>
    <row r="9" spans="1:12">
      <c r="A9" s="4">
        <v>3</v>
      </c>
      <c r="B9" s="91" t="s">
        <v>576</v>
      </c>
      <c r="C9" s="10"/>
    </row>
    <row r="10" spans="1:12">
      <c r="A10" s="4">
        <v>0.73499999999999999</v>
      </c>
      <c r="B10" s="91" t="s">
        <v>577</v>
      </c>
    </row>
    <row r="11" spans="1:12">
      <c r="A11" s="186">
        <f>0.491154055*A10</f>
        <v>0.36099823042499996</v>
      </c>
      <c r="B11" s="91" t="str">
        <f>CONCATENATE("∆PSI @ ",A10,"''/hg  Pressure Drop")</f>
        <v>∆PSI @ 0.735''/hg  Pressure Drop</v>
      </c>
      <c r="G11" s="153" t="s">
        <v>497</v>
      </c>
      <c r="J11" s="90" t="str">
        <f>CONCATENATE("Port MCA Dia"" = RPM × Bore² × Stroke / ",H18)</f>
        <v>Port MCA Dia" = RPM × Bore² × Stroke / 176000</v>
      </c>
    </row>
    <row r="12" spans="1:12">
      <c r="A12" s="453">
        <v>0.92</v>
      </c>
      <c r="B12" s="91" t="s">
        <v>503</v>
      </c>
      <c r="G12" s="188">
        <v>173881</v>
      </c>
      <c r="H12" s="90" t="s">
        <v>494</v>
      </c>
      <c r="J12" s="90" t="s">
        <v>702</v>
      </c>
    </row>
    <row r="13" spans="1:12" ht="16" customHeight="1">
      <c r="A13" s="177">
        <v>155</v>
      </c>
      <c r="B13" s="91" t="s">
        <v>501</v>
      </c>
      <c r="G13" s="191">
        <f>(G12+G14)/2</f>
        <v>175830.5</v>
      </c>
      <c r="H13" s="192" t="s">
        <v>502</v>
      </c>
    </row>
    <row r="14" spans="1:12">
      <c r="A14" s="150">
        <f>A13*A12*(A8/14.696)*((29.921-A9)/29.921)*((29.921+A9-A10)/29.921)</f>
        <v>138.01475290477308</v>
      </c>
      <c r="B14" s="91" t="s">
        <v>578</v>
      </c>
      <c r="G14" s="189">
        <v>177780</v>
      </c>
      <c r="H14" s="90" t="s">
        <v>486</v>
      </c>
      <c r="I14" s="90" t="s">
        <v>457</v>
      </c>
    </row>
    <row r="15" spans="1:12">
      <c r="A15" s="193">
        <f>A14/A13</f>
        <v>0.89041776067595535</v>
      </c>
      <c r="B15" s="91" t="s">
        <v>509</v>
      </c>
      <c r="G15" s="78">
        <v>195558</v>
      </c>
      <c r="H15" s="90" t="s">
        <v>487</v>
      </c>
      <c r="I15" s="78" t="s">
        <v>493</v>
      </c>
    </row>
    <row r="16" spans="1:12">
      <c r="A16" s="4">
        <v>1.84</v>
      </c>
      <c r="B16" s="45" t="s">
        <v>505</v>
      </c>
      <c r="G16" s="78">
        <v>184136</v>
      </c>
      <c r="H16" s="90" t="s">
        <v>488</v>
      </c>
      <c r="I16" s="90" t="s">
        <v>455</v>
      </c>
    </row>
    <row r="17" spans="1:34" ht="18" customHeight="1">
      <c r="A17" s="93">
        <f>A14/A16</f>
        <v>75.008017883028842</v>
      </c>
      <c r="B17" s="153" t="s">
        <v>504</v>
      </c>
      <c r="C17" s="183"/>
      <c r="G17" s="249" t="s">
        <v>575</v>
      </c>
    </row>
    <row r="18" spans="1:34">
      <c r="A18" s="194">
        <f>14.696*3456*A14/(A20*G8)/A8</f>
        <v>1.2281644688985767</v>
      </c>
      <c r="B18" s="153" t="s">
        <v>499</v>
      </c>
      <c r="E18" s="78"/>
      <c r="G18" s="151" t="s">
        <v>496</v>
      </c>
      <c r="H18" s="10">
        <v>176000</v>
      </c>
      <c r="J18" s="190"/>
    </row>
    <row r="19" spans="1:34">
      <c r="A19" s="152">
        <f>A8*A18-A8</f>
        <v>3.353105034933483</v>
      </c>
      <c r="B19" s="91" t="s">
        <v>500</v>
      </c>
      <c r="G19" s="151" t="s">
        <v>701</v>
      </c>
      <c r="H19" s="452">
        <v>0.95</v>
      </c>
      <c r="I19" s="154"/>
      <c r="K19" s="225">
        <v>10</v>
      </c>
      <c r="L19" s="198" t="s">
        <v>512</v>
      </c>
      <c r="M19" s="221" t="s">
        <v>567</v>
      </c>
    </row>
    <row r="20" spans="1:34">
      <c r="A20" s="177">
        <v>8500</v>
      </c>
      <c r="B20" s="184" t="s">
        <v>588</v>
      </c>
      <c r="E20" s="78"/>
      <c r="G20" s="151" t="s">
        <v>450</v>
      </c>
      <c r="H20" s="93">
        <f>H19*H4</f>
        <v>10.851440795732398</v>
      </c>
      <c r="I20" s="11" t="s">
        <v>0</v>
      </c>
      <c r="K20" s="199">
        <f>0.073482424*K19</f>
        <v>0.73482424000000002</v>
      </c>
      <c r="L20" s="200" t="s">
        <v>513</v>
      </c>
      <c r="M20" s="221" t="s">
        <v>566</v>
      </c>
    </row>
    <row r="21" spans="1:34">
      <c r="A21" s="78" t="s">
        <v>587</v>
      </c>
      <c r="B21" s="78"/>
      <c r="K21" s="201">
        <f>0.0360911905188293*K19</f>
        <v>0.36091190518829303</v>
      </c>
      <c r="L21" s="200" t="s">
        <v>514</v>
      </c>
      <c r="M21" s="237">
        <f>SQRT(K22/K19)</f>
        <v>6.1948788437075777</v>
      </c>
    </row>
    <row r="22" spans="1:34" ht="18" thickBot="1">
      <c r="A22" s="273">
        <f>$H$18*F22/$G$2^2/$G$5</f>
        <v>13011.669992715662</v>
      </c>
      <c r="B22" s="274" t="s">
        <v>58</v>
      </c>
      <c r="C22" s="270">
        <f>$A$8*$G$8*A22*$A$18/3456/14.696</f>
        <v>211.27087281448266</v>
      </c>
      <c r="D22" s="270">
        <f>C22/$A$16</f>
        <v>114.82112652961014</v>
      </c>
      <c r="E22" s="275" t="s">
        <v>571</v>
      </c>
      <c r="F22" s="276">
        <f>G22/25.4</f>
        <v>1.0752124656846631</v>
      </c>
      <c r="G22" s="277">
        <f>'Displacement &amp; Cam Protractor'!$B$67</f>
        <v>27.310396628390443</v>
      </c>
      <c r="H22" s="277">
        <f>$H$19*$H$4/(PI()*(F22/2)^2)</f>
        <v>11.951129223191996</v>
      </c>
      <c r="I22" s="277">
        <f>2.54*H22</f>
        <v>30.355868226907671</v>
      </c>
      <c r="J22" s="187" t="s">
        <v>691</v>
      </c>
      <c r="K22" s="302">
        <f>13.6086964142609*K23</f>
        <v>383.76523888215735</v>
      </c>
      <c r="L22" s="303" t="s">
        <v>512</v>
      </c>
      <c r="M22" s="221" t="s">
        <v>568</v>
      </c>
      <c r="N22" s="206"/>
      <c r="AG22" s="227"/>
    </row>
    <row r="23" spans="1:34" ht="17" customHeight="1" thickBot="1">
      <c r="A23" s="292">
        <f>$H$18*F23/$G$2^2/$G$5</f>
        <v>12034.01652603452</v>
      </c>
      <c r="B23" s="293" t="s">
        <v>58</v>
      </c>
      <c r="C23" s="57">
        <f>$A$8*$G$8*A23*$A$18/3456/14.696</f>
        <v>195.39668438736589</v>
      </c>
      <c r="D23" s="57">
        <f>C23/$A$16</f>
        <v>106.19385021052494</v>
      </c>
      <c r="E23" s="297" t="s">
        <v>571</v>
      </c>
      <c r="F23" s="288">
        <f>G23/25.4</f>
        <v>0.9944245887185339</v>
      </c>
      <c r="G23" s="316">
        <f>J23*'Displacement &amp; Cam Protractor'!$D$67</f>
        <v>25.25838455345076</v>
      </c>
      <c r="H23" s="289">
        <f>$H$19*$H$4/(PI()*(F23/2)^2)</f>
        <v>13.971846805275581</v>
      </c>
      <c r="I23" s="289">
        <f>2.54*H23</f>
        <v>35.488490885399976</v>
      </c>
      <c r="J23" s="4">
        <v>0.94499999999999995</v>
      </c>
      <c r="K23" s="209">
        <v>28.2</v>
      </c>
      <c r="L23" s="200" t="s">
        <v>513</v>
      </c>
      <c r="N23" s="221"/>
      <c r="AG23" s="227"/>
      <c r="AH23" s="90">
        <v>0</v>
      </c>
    </row>
    <row r="24" spans="1:34" ht="16" customHeight="1">
      <c r="A24" s="78" t="s">
        <v>587</v>
      </c>
      <c r="B24" s="296"/>
      <c r="G24" s="265" t="s">
        <v>589</v>
      </c>
      <c r="K24" s="304">
        <f>0.491154055*K23</f>
        <v>13.850544351</v>
      </c>
      <c r="L24" s="305" t="s">
        <v>514</v>
      </c>
      <c r="N24" s="221"/>
    </row>
    <row r="25" spans="1:34" ht="18" thickBot="1">
      <c r="A25" s="294">
        <f>$H$18*F25/$G$2^2/$G$5</f>
        <v>11362.595861398717</v>
      </c>
      <c r="B25" s="295" t="s">
        <v>58</v>
      </c>
      <c r="C25" s="283">
        <f>$A$8*$G$8*A25*$A$18/3456/14.696</f>
        <v>184.49480707855776</v>
      </c>
      <c r="D25" s="283">
        <f>C25/$A$16</f>
        <v>100.26891689052052</v>
      </c>
      <c r="E25" s="284" t="s">
        <v>569</v>
      </c>
      <c r="F25" s="285">
        <f>G25/25.4</f>
        <v>0.93894209732896972</v>
      </c>
      <c r="G25" s="286">
        <f>'Displacement &amp; Cam Protractor'!$B$83</f>
        <v>23.849129272155828</v>
      </c>
      <c r="H25" s="286">
        <f>$H$19*$H$4/(PI()*(F25/2)^2)</f>
        <v>15.671836851492547</v>
      </c>
      <c r="I25" s="286">
        <f>2.54*H25</f>
        <v>39.806465602791071</v>
      </c>
      <c r="J25" s="187" t="s">
        <v>691</v>
      </c>
      <c r="K25" s="301">
        <f>A8</f>
        <v>14.696</v>
      </c>
      <c r="L25" s="197" t="s">
        <v>515</v>
      </c>
      <c r="M25" s="210"/>
      <c r="N25" s="221"/>
    </row>
    <row r="26" spans="1:34" ht="17" customHeight="1" thickBot="1">
      <c r="A26" s="290">
        <f>$H$18*F26/$G$2^2/$G$5</f>
        <v>10474.251557466294</v>
      </c>
      <c r="B26" s="291" t="s">
        <v>58</v>
      </c>
      <c r="C26" s="57">
        <f>$A$8*$G$8*A26*$A$18/3456/14.696</f>
        <v>170.07073418425239</v>
      </c>
      <c r="D26" s="57">
        <f>C26/$A$16</f>
        <v>92.429746839267594</v>
      </c>
      <c r="E26" s="297" t="s">
        <v>569</v>
      </c>
      <c r="F26" s="288">
        <f>G26/25.4</f>
        <v>0.86553423577523869</v>
      </c>
      <c r="G26" s="316">
        <f>J26*'Displacement &amp; Cam Protractor'!$D$83</f>
        <v>21.984569588691063</v>
      </c>
      <c r="H26" s="289">
        <f>$H$19*$H$4/(PI()*(F26/2)^2)</f>
        <v>18.442891963762083</v>
      </c>
      <c r="I26" s="289">
        <f>2.54*H26</f>
        <v>46.844945587955692</v>
      </c>
      <c r="J26" s="4">
        <v>0.98</v>
      </c>
      <c r="K26" s="202">
        <v>166</v>
      </c>
      <c r="L26" s="195" t="str">
        <f>CONCATENATE("CFM @ ",ROUND(K19,3)," in/H₂O")</f>
        <v>CFM @ 10 in/H₂O</v>
      </c>
      <c r="M26" s="211"/>
      <c r="N26" s="221"/>
    </row>
    <row r="27" spans="1:34">
      <c r="K27" s="203">
        <f>SQRT(K22/K19)*K26</f>
        <v>1028.349888055458</v>
      </c>
      <c r="L27" s="204" t="str">
        <f>CONCATENATE("CFM @ ",ROUND(K23,1)," in/hg")</f>
        <v>CFM @ 28.2 in/hg</v>
      </c>
      <c r="M27" s="205"/>
      <c r="N27" s="221"/>
    </row>
    <row r="28" spans="1:34">
      <c r="A28" s="15" t="s">
        <v>433</v>
      </c>
      <c r="C28" s="11" t="s">
        <v>443</v>
      </c>
      <c r="F28" s="92" t="s">
        <v>562</v>
      </c>
      <c r="H28" s="91" t="s">
        <v>453</v>
      </c>
      <c r="N28" s="221"/>
    </row>
    <row r="29" spans="1:34">
      <c r="A29" s="10">
        <v>100</v>
      </c>
      <c r="C29" s="15" t="s">
        <v>446</v>
      </c>
      <c r="D29" s="1"/>
      <c r="F29" s="92" t="s">
        <v>561</v>
      </c>
      <c r="H29" s="153" t="s">
        <v>445</v>
      </c>
      <c r="K29" s="208">
        <f>27.7075925073263*K31</f>
        <v>6.7994432012978745</v>
      </c>
      <c r="L29" s="198" t="s">
        <v>512</v>
      </c>
      <c r="N29" s="221"/>
    </row>
    <row r="30" spans="1:34">
      <c r="A30" s="15" t="s">
        <v>58</v>
      </c>
      <c r="C30" s="15" t="s">
        <v>434</v>
      </c>
      <c r="D30" s="15" t="s">
        <v>2</v>
      </c>
      <c r="F30" s="92" t="s">
        <v>59</v>
      </c>
      <c r="G30" s="92" t="s">
        <v>19</v>
      </c>
      <c r="H30" s="92" t="s">
        <v>59</v>
      </c>
      <c r="I30" s="92" t="s">
        <v>444</v>
      </c>
      <c r="K30" s="226">
        <f>2.03602106064257*K31</f>
        <v>0.49963956828168665</v>
      </c>
      <c r="L30" s="200" t="s">
        <v>513</v>
      </c>
      <c r="N30" s="196"/>
    </row>
    <row r="31" spans="1:34">
      <c r="A31" s="34">
        <v>1000</v>
      </c>
      <c r="C31" s="7">
        <f t="shared" ref="C31:C62" si="0">$A$8*$G$8*A31*$A$18/3456/14.696</f>
        <v>16.237029753502714</v>
      </c>
      <c r="D31" s="7">
        <f t="shared" ref="D31:D62" si="1">C31/$A$16</f>
        <v>8.8244726921210397</v>
      </c>
      <c r="F31" s="149">
        <f t="shared" ref="F31:F62" si="2">A31*$G$2^2*$G$5/$H$18</f>
        <v>8.2634470923916806E-2</v>
      </c>
      <c r="G31" s="93">
        <f>F31*25.4</f>
        <v>2.0989155614674866</v>
      </c>
      <c r="H31" s="93">
        <f t="shared" ref="H31:H62" si="3">$H$19*$H$4/(PI()*(F31/2)^2)</f>
        <v>2023.3686756940012</v>
      </c>
      <c r="I31" s="93">
        <f>2.54*H31</f>
        <v>5139.3564362627631</v>
      </c>
      <c r="K31" s="231">
        <v>0.24540000000000001</v>
      </c>
      <c r="L31" s="207" t="s">
        <v>514</v>
      </c>
      <c r="M31" s="183"/>
      <c r="N31" s="197"/>
    </row>
    <row r="32" spans="1:34">
      <c r="A32" s="34">
        <f t="shared" ref="A32:A63" si="4">$A$29+A31</f>
        <v>1100</v>
      </c>
      <c r="C32" s="68">
        <f t="shared" si="0"/>
        <v>17.860732728852984</v>
      </c>
      <c r="D32" s="7">
        <f t="shared" si="1"/>
        <v>9.7069199613331438</v>
      </c>
      <c r="F32" s="149">
        <f t="shared" si="2"/>
        <v>9.089791801630849E-2</v>
      </c>
      <c r="G32" s="93">
        <f t="shared" ref="G32:G95" si="5">F32*25.4</f>
        <v>2.3088071176142355</v>
      </c>
      <c r="H32" s="93">
        <f t="shared" si="3"/>
        <v>1672.2055171024804</v>
      </c>
      <c r="I32" s="93">
        <f t="shared" ref="I32:I95" si="6">2.54*H32</f>
        <v>4247.4020134402999</v>
      </c>
      <c r="M32" s="78"/>
    </row>
    <row r="33" spans="1:18">
      <c r="A33" s="34">
        <f t="shared" si="4"/>
        <v>1200</v>
      </c>
      <c r="C33" s="68">
        <f t="shared" si="0"/>
        <v>19.484435704203257</v>
      </c>
      <c r="D33" s="7">
        <f t="shared" si="1"/>
        <v>10.589367230545248</v>
      </c>
      <c r="F33" s="149">
        <f t="shared" si="2"/>
        <v>9.9161365108700161E-2</v>
      </c>
      <c r="G33" s="93">
        <f t="shared" si="5"/>
        <v>2.518698673760984</v>
      </c>
      <c r="H33" s="93">
        <f t="shared" si="3"/>
        <v>1405.1171358986121</v>
      </c>
      <c r="I33" s="93">
        <f t="shared" si="6"/>
        <v>3568.9975251824749</v>
      </c>
      <c r="K33" s="213"/>
      <c r="L33" s="214" t="s">
        <v>434</v>
      </c>
      <c r="M33" s="214" t="s">
        <v>434</v>
      </c>
      <c r="N33" s="215"/>
      <c r="O33" s="214" t="s">
        <v>556</v>
      </c>
      <c r="P33" s="215"/>
      <c r="Q33" s="215"/>
      <c r="R33" s="216"/>
    </row>
    <row r="34" spans="1:18" s="239" customFormat="1" ht="19" customHeight="1">
      <c r="A34" s="34">
        <f t="shared" si="4"/>
        <v>1300</v>
      </c>
      <c r="B34" s="90"/>
      <c r="C34" s="68">
        <f t="shared" si="0"/>
        <v>21.108138679553527</v>
      </c>
      <c r="D34" s="7">
        <f t="shared" si="1"/>
        <v>11.47181449975735</v>
      </c>
      <c r="E34" s="90"/>
      <c r="F34" s="149">
        <f t="shared" si="2"/>
        <v>0.10742481220109183</v>
      </c>
      <c r="G34" s="93">
        <f t="shared" si="5"/>
        <v>2.7285902299077325</v>
      </c>
      <c r="H34" s="93">
        <f t="shared" si="3"/>
        <v>1197.2595714165691</v>
      </c>
      <c r="I34" s="93">
        <f t="shared" si="6"/>
        <v>3041.0393113980854</v>
      </c>
      <c r="K34" s="243" t="s">
        <v>446</v>
      </c>
      <c r="L34" s="244" t="s">
        <v>516</v>
      </c>
      <c r="M34" s="244" t="s">
        <v>565</v>
      </c>
      <c r="N34" s="245"/>
      <c r="O34" s="111" t="s">
        <v>557</v>
      </c>
      <c r="P34" s="246"/>
      <c r="Q34" s="246"/>
      <c r="R34" s="247"/>
    </row>
    <row r="35" spans="1:18">
      <c r="A35" s="34">
        <f t="shared" si="4"/>
        <v>1400</v>
      </c>
      <c r="C35" s="68">
        <f t="shared" si="0"/>
        <v>22.731841654903803</v>
      </c>
      <c r="D35" s="7">
        <f t="shared" si="1"/>
        <v>12.354261768969458</v>
      </c>
      <c r="F35" s="149">
        <f t="shared" si="2"/>
        <v>0.11568825929348354</v>
      </c>
      <c r="G35" s="93">
        <f t="shared" si="5"/>
        <v>2.9384817860544818</v>
      </c>
      <c r="H35" s="93">
        <f t="shared" si="3"/>
        <v>1032.3309569867349</v>
      </c>
      <c r="I35" s="93">
        <f t="shared" si="6"/>
        <v>2622.1206307463067</v>
      </c>
      <c r="K35" s="218" t="s">
        <v>522</v>
      </c>
      <c r="L35" s="219">
        <v>47</v>
      </c>
      <c r="M35" s="219">
        <f>1.4287757*L35</f>
        <v>67.152457900000002</v>
      </c>
      <c r="N35" s="220" t="s">
        <v>526</v>
      </c>
      <c r="O35" s="206"/>
      <c r="P35" s="206"/>
      <c r="Q35" s="206"/>
      <c r="R35" s="217"/>
    </row>
    <row r="36" spans="1:18">
      <c r="A36" s="34">
        <f t="shared" si="4"/>
        <v>1500</v>
      </c>
      <c r="C36" s="68">
        <f t="shared" si="0"/>
        <v>24.355544630254073</v>
      </c>
      <c r="D36" s="7">
        <f t="shared" si="1"/>
        <v>13.23670903818156</v>
      </c>
      <c r="F36" s="149">
        <f t="shared" si="2"/>
        <v>0.1239517063858752</v>
      </c>
      <c r="G36" s="93">
        <f t="shared" si="5"/>
        <v>3.1483733422012299</v>
      </c>
      <c r="H36" s="93">
        <f t="shared" si="3"/>
        <v>899.27496697511185</v>
      </c>
      <c r="I36" s="93">
        <f t="shared" si="6"/>
        <v>2284.1584161167843</v>
      </c>
      <c r="K36" s="218" t="s">
        <v>523</v>
      </c>
      <c r="L36" s="219">
        <v>58</v>
      </c>
      <c r="M36" s="219">
        <f t="shared" ref="M36:M51" si="7">1.4287757*L36</f>
        <v>82.868990600000004</v>
      </c>
      <c r="N36" s="220" t="s">
        <v>517</v>
      </c>
      <c r="O36" s="206"/>
      <c r="P36" s="206"/>
      <c r="Q36" s="206"/>
      <c r="R36" s="217"/>
    </row>
    <row r="37" spans="1:18">
      <c r="A37" s="34">
        <f t="shared" si="4"/>
        <v>1600</v>
      </c>
      <c r="C37" s="68">
        <f t="shared" si="0"/>
        <v>25.979247605604343</v>
      </c>
      <c r="D37" s="7">
        <f t="shared" si="1"/>
        <v>14.119156307393665</v>
      </c>
      <c r="F37" s="149">
        <f t="shared" si="2"/>
        <v>0.13221515347826687</v>
      </c>
      <c r="G37" s="93">
        <f t="shared" si="5"/>
        <v>3.3582648983479784</v>
      </c>
      <c r="H37" s="93">
        <f t="shared" si="3"/>
        <v>790.37838894296942</v>
      </c>
      <c r="I37" s="93">
        <f t="shared" si="6"/>
        <v>2007.5611079151424</v>
      </c>
      <c r="K37" s="218" t="s">
        <v>524</v>
      </c>
      <c r="L37" s="219">
        <v>52</v>
      </c>
      <c r="M37" s="219">
        <f t="shared" si="7"/>
        <v>74.296336400000001</v>
      </c>
      <c r="N37" s="220" t="s">
        <v>518</v>
      </c>
      <c r="O37" s="206"/>
      <c r="P37" s="206"/>
      <c r="Q37" s="206"/>
      <c r="R37" s="217"/>
    </row>
    <row r="38" spans="1:18">
      <c r="A38" s="34">
        <f t="shared" si="4"/>
        <v>1700</v>
      </c>
      <c r="C38" s="68">
        <f t="shared" si="0"/>
        <v>27.602950580954619</v>
      </c>
      <c r="D38" s="7">
        <f t="shared" si="1"/>
        <v>15.00160357660577</v>
      </c>
      <c r="F38" s="149">
        <f t="shared" si="2"/>
        <v>0.14047860057065856</v>
      </c>
      <c r="G38" s="93">
        <f t="shared" si="5"/>
        <v>3.5681564544947273</v>
      </c>
      <c r="H38" s="93">
        <f t="shared" si="3"/>
        <v>700.12756944429123</v>
      </c>
      <c r="I38" s="93">
        <f t="shared" si="6"/>
        <v>1778.3240263884998</v>
      </c>
      <c r="K38" s="218" t="s">
        <v>525</v>
      </c>
      <c r="L38" s="219">
        <v>64</v>
      </c>
      <c r="M38" s="219">
        <f t="shared" si="7"/>
        <v>91.441644800000006</v>
      </c>
      <c r="N38" s="220" t="s">
        <v>520</v>
      </c>
      <c r="O38" s="206"/>
      <c r="P38" s="206"/>
      <c r="Q38" s="206"/>
      <c r="R38" s="217"/>
    </row>
    <row r="39" spans="1:18">
      <c r="A39" s="238">
        <f t="shared" si="4"/>
        <v>1800</v>
      </c>
      <c r="B39" s="239"/>
      <c r="C39" s="240">
        <f t="shared" si="0"/>
        <v>29.226653556304885</v>
      </c>
      <c r="D39" s="240">
        <f t="shared" si="1"/>
        <v>15.884050845817871</v>
      </c>
      <c r="E39" s="239"/>
      <c r="F39" s="241">
        <f t="shared" si="2"/>
        <v>0.14874204766305024</v>
      </c>
      <c r="G39" s="242">
        <f t="shared" si="5"/>
        <v>3.7780480106414758</v>
      </c>
      <c r="H39" s="242">
        <f t="shared" si="3"/>
        <v>624.49650484382755</v>
      </c>
      <c r="I39" s="242">
        <f t="shared" si="6"/>
        <v>1586.2211223033221</v>
      </c>
      <c r="K39" s="218" t="s">
        <v>521</v>
      </c>
      <c r="L39" s="219">
        <v>53</v>
      </c>
      <c r="M39" s="219">
        <f t="shared" si="7"/>
        <v>75.725112100000004</v>
      </c>
      <c r="N39" s="220" t="s">
        <v>519</v>
      </c>
      <c r="O39" s="206"/>
      <c r="P39" s="206"/>
      <c r="Q39" s="206"/>
      <c r="R39" s="217"/>
    </row>
    <row r="40" spans="1:18">
      <c r="A40" s="34">
        <f t="shared" si="4"/>
        <v>1900</v>
      </c>
      <c r="C40" s="68">
        <f t="shared" si="0"/>
        <v>30.850356531655159</v>
      </c>
      <c r="D40" s="7">
        <f t="shared" si="1"/>
        <v>16.766498115029975</v>
      </c>
      <c r="F40" s="149">
        <f t="shared" si="2"/>
        <v>0.15700549475544193</v>
      </c>
      <c r="G40" s="93">
        <f t="shared" si="5"/>
        <v>3.9879395667882247</v>
      </c>
      <c r="H40" s="93">
        <f t="shared" si="3"/>
        <v>560.48993786537437</v>
      </c>
      <c r="I40" s="93">
        <f t="shared" si="6"/>
        <v>1423.6444421780509</v>
      </c>
      <c r="K40" s="218" t="s">
        <v>521</v>
      </c>
      <c r="L40" s="219">
        <v>64</v>
      </c>
      <c r="M40" s="219">
        <f t="shared" si="7"/>
        <v>91.441644800000006</v>
      </c>
      <c r="N40" s="220" t="s">
        <v>527</v>
      </c>
      <c r="O40" s="206"/>
      <c r="P40" s="206"/>
      <c r="Q40" s="206"/>
      <c r="R40" s="217"/>
    </row>
    <row r="41" spans="1:18">
      <c r="A41" s="34">
        <f t="shared" si="4"/>
        <v>2000</v>
      </c>
      <c r="C41" s="68">
        <f t="shared" si="0"/>
        <v>32.474059507005428</v>
      </c>
      <c r="D41" s="7">
        <f t="shared" si="1"/>
        <v>17.648945384242079</v>
      </c>
      <c r="F41" s="149">
        <f t="shared" si="2"/>
        <v>0.16526894184783361</v>
      </c>
      <c r="G41" s="93">
        <f t="shared" si="5"/>
        <v>4.1978311229349732</v>
      </c>
      <c r="H41" s="93">
        <f t="shared" si="3"/>
        <v>505.84216892350031</v>
      </c>
      <c r="I41" s="93">
        <f t="shared" si="6"/>
        <v>1284.8391090656908</v>
      </c>
      <c r="K41" s="218" t="s">
        <v>528</v>
      </c>
      <c r="L41" s="219">
        <v>80</v>
      </c>
      <c r="M41" s="219">
        <f t="shared" si="7"/>
        <v>114.30205600000001</v>
      </c>
      <c r="N41" s="220" t="s">
        <v>529</v>
      </c>
      <c r="O41" s="206"/>
      <c r="P41" s="206"/>
      <c r="Q41" s="206"/>
      <c r="R41" s="217"/>
    </row>
    <row r="42" spans="1:18">
      <c r="A42" s="34">
        <f t="shared" si="4"/>
        <v>2100</v>
      </c>
      <c r="C42" s="68">
        <f t="shared" si="0"/>
        <v>34.097762482355705</v>
      </c>
      <c r="D42" s="7">
        <f t="shared" si="1"/>
        <v>18.531392653454187</v>
      </c>
      <c r="F42" s="149">
        <f t="shared" si="2"/>
        <v>0.1735323889402253</v>
      </c>
      <c r="G42" s="93">
        <f t="shared" si="5"/>
        <v>4.4077226790817221</v>
      </c>
      <c r="H42" s="93">
        <f t="shared" si="3"/>
        <v>458.81375866077121</v>
      </c>
      <c r="I42" s="93">
        <f t="shared" si="6"/>
        <v>1165.386946998359</v>
      </c>
      <c r="K42" s="218" t="s">
        <v>530</v>
      </c>
      <c r="L42" s="219">
        <v>58</v>
      </c>
      <c r="M42" s="219">
        <f t="shared" si="7"/>
        <v>82.868990600000004</v>
      </c>
      <c r="N42" s="220" t="s">
        <v>520</v>
      </c>
      <c r="O42" s="206"/>
      <c r="P42" s="206"/>
      <c r="Q42" s="206"/>
      <c r="R42" s="217"/>
    </row>
    <row r="43" spans="1:18">
      <c r="A43" s="34">
        <f t="shared" si="4"/>
        <v>2200</v>
      </c>
      <c r="C43" s="68">
        <f t="shared" si="0"/>
        <v>35.721465457705968</v>
      </c>
      <c r="D43" s="7">
        <f t="shared" si="1"/>
        <v>19.413839922666288</v>
      </c>
      <c r="F43" s="149">
        <f t="shared" si="2"/>
        <v>0.18179583603261698</v>
      </c>
      <c r="G43" s="93">
        <f t="shared" si="5"/>
        <v>4.617614235228471</v>
      </c>
      <c r="H43" s="93">
        <f t="shared" si="3"/>
        <v>418.05137927562009</v>
      </c>
      <c r="I43" s="93">
        <f t="shared" si="6"/>
        <v>1061.850503360075</v>
      </c>
      <c r="K43" s="218" t="s">
        <v>530</v>
      </c>
      <c r="L43" s="219">
        <v>63</v>
      </c>
      <c r="M43" s="219">
        <f t="shared" si="7"/>
        <v>90.012869100000003</v>
      </c>
      <c r="N43" s="220" t="s">
        <v>531</v>
      </c>
      <c r="O43" s="206"/>
      <c r="P43" s="206"/>
      <c r="Q43" s="206"/>
      <c r="R43" s="217"/>
    </row>
    <row r="44" spans="1:18">
      <c r="A44" s="34">
        <f t="shared" si="4"/>
        <v>2300</v>
      </c>
      <c r="C44" s="68">
        <f t="shared" si="0"/>
        <v>37.345168433056244</v>
      </c>
      <c r="D44" s="7">
        <f t="shared" si="1"/>
        <v>20.296287191878392</v>
      </c>
      <c r="F44" s="149">
        <f t="shared" si="2"/>
        <v>0.19005928312500864</v>
      </c>
      <c r="G44" s="93">
        <f t="shared" si="5"/>
        <v>4.8275057913752191</v>
      </c>
      <c r="H44" s="93">
        <f t="shared" si="3"/>
        <v>382.48935268317609</v>
      </c>
      <c r="I44" s="93">
        <f t="shared" si="6"/>
        <v>971.52295581526732</v>
      </c>
      <c r="K44" s="218" t="s">
        <v>532</v>
      </c>
      <c r="L44" s="219">
        <v>82</v>
      </c>
      <c r="M44" s="219">
        <f t="shared" si="7"/>
        <v>117.15960740000001</v>
      </c>
      <c r="N44" s="220" t="s">
        <v>533</v>
      </c>
      <c r="O44" s="206"/>
      <c r="P44" s="206"/>
      <c r="Q44" s="206"/>
      <c r="R44" s="217"/>
    </row>
    <row r="45" spans="1:18">
      <c r="A45" s="34">
        <f t="shared" si="4"/>
        <v>2400</v>
      </c>
      <c r="C45" s="68">
        <f t="shared" si="0"/>
        <v>38.968871408406514</v>
      </c>
      <c r="D45" s="7">
        <f t="shared" si="1"/>
        <v>21.178734461090496</v>
      </c>
      <c r="F45" s="149">
        <f t="shared" si="2"/>
        <v>0.19832273021740032</v>
      </c>
      <c r="G45" s="93">
        <f t="shared" si="5"/>
        <v>5.037397347521968</v>
      </c>
      <c r="H45" s="93">
        <f t="shared" si="3"/>
        <v>351.27928397465303</v>
      </c>
      <c r="I45" s="93">
        <f t="shared" si="6"/>
        <v>892.24938129561872</v>
      </c>
      <c r="K45" s="218" t="s">
        <v>534</v>
      </c>
      <c r="L45" s="219">
        <v>137</v>
      </c>
      <c r="M45" s="219">
        <f t="shared" si="7"/>
        <v>195.74227090000002</v>
      </c>
      <c r="N45" s="220" t="s">
        <v>535</v>
      </c>
      <c r="O45" s="206"/>
      <c r="P45" s="206"/>
      <c r="Q45" s="206"/>
      <c r="R45" s="217"/>
    </row>
    <row r="46" spans="1:18">
      <c r="A46" s="34">
        <f t="shared" si="4"/>
        <v>2500</v>
      </c>
      <c r="C46" s="68">
        <f t="shared" si="0"/>
        <v>40.592574383756791</v>
      </c>
      <c r="D46" s="7">
        <f t="shared" si="1"/>
        <v>22.061181730302604</v>
      </c>
      <c r="F46" s="149">
        <f t="shared" si="2"/>
        <v>0.20658617730979201</v>
      </c>
      <c r="G46" s="93">
        <f t="shared" si="5"/>
        <v>5.2472889036687169</v>
      </c>
      <c r="H46" s="93">
        <f t="shared" si="3"/>
        <v>323.73898811104027</v>
      </c>
      <c r="I46" s="93">
        <f t="shared" si="6"/>
        <v>822.29702980204229</v>
      </c>
      <c r="K46" s="218" t="s">
        <v>534</v>
      </c>
      <c r="L46" s="219">
        <v>150</v>
      </c>
      <c r="M46" s="219">
        <f t="shared" si="7"/>
        <v>214.31635500000002</v>
      </c>
      <c r="N46" s="220" t="s">
        <v>536</v>
      </c>
      <c r="O46" s="206"/>
      <c r="P46" s="206"/>
      <c r="Q46" s="206"/>
      <c r="R46" s="217"/>
    </row>
    <row r="47" spans="1:18">
      <c r="A47" s="34">
        <f t="shared" si="4"/>
        <v>2600</v>
      </c>
      <c r="C47" s="68">
        <f t="shared" si="0"/>
        <v>42.216277359107053</v>
      </c>
      <c r="D47" s="7">
        <f t="shared" si="1"/>
        <v>22.943628999514701</v>
      </c>
      <c r="F47" s="149">
        <f t="shared" si="2"/>
        <v>0.21484962440218366</v>
      </c>
      <c r="G47" s="93">
        <f t="shared" si="5"/>
        <v>5.457180459815465</v>
      </c>
      <c r="H47" s="93">
        <f t="shared" si="3"/>
        <v>299.31489285414227</v>
      </c>
      <c r="I47" s="93">
        <f t="shared" si="6"/>
        <v>760.25982784952134</v>
      </c>
      <c r="K47" s="458" t="s">
        <v>534</v>
      </c>
      <c r="L47" s="459">
        <v>161</v>
      </c>
      <c r="M47" s="459">
        <f t="shared" si="7"/>
        <v>230.0328877</v>
      </c>
      <c r="N47" s="460" t="s">
        <v>537</v>
      </c>
      <c r="O47" s="461"/>
      <c r="P47" s="461"/>
      <c r="Q47" s="461"/>
      <c r="R47" s="217"/>
    </row>
    <row r="48" spans="1:18">
      <c r="A48" s="34">
        <f t="shared" si="4"/>
        <v>2700</v>
      </c>
      <c r="C48" s="68">
        <f t="shared" si="0"/>
        <v>43.83998033445733</v>
      </c>
      <c r="D48" s="7">
        <f t="shared" si="1"/>
        <v>23.826076268726808</v>
      </c>
      <c r="F48" s="149">
        <f t="shared" si="2"/>
        <v>0.22311307149457538</v>
      </c>
      <c r="G48" s="93">
        <f t="shared" si="5"/>
        <v>5.6670720159622139</v>
      </c>
      <c r="H48" s="93">
        <f t="shared" si="3"/>
        <v>277.55400215281225</v>
      </c>
      <c r="I48" s="93">
        <f t="shared" si="6"/>
        <v>704.98716546814308</v>
      </c>
      <c r="K48" s="218" t="s">
        <v>538</v>
      </c>
      <c r="L48" s="219">
        <v>100</v>
      </c>
      <c r="M48" s="219">
        <f t="shared" si="7"/>
        <v>142.87757000000002</v>
      </c>
      <c r="N48" s="220" t="s">
        <v>539</v>
      </c>
      <c r="O48" s="206"/>
      <c r="P48" s="206"/>
      <c r="Q48" s="206"/>
      <c r="R48" s="217"/>
    </row>
    <row r="49" spans="1:18">
      <c r="A49" s="34">
        <f t="shared" si="4"/>
        <v>2800</v>
      </c>
      <c r="C49" s="68">
        <f t="shared" si="0"/>
        <v>45.463683309807607</v>
      </c>
      <c r="D49" s="7">
        <f t="shared" si="1"/>
        <v>24.708523537938916</v>
      </c>
      <c r="F49" s="149">
        <f t="shared" si="2"/>
        <v>0.23137651858696709</v>
      </c>
      <c r="G49" s="93">
        <f t="shared" si="5"/>
        <v>5.8769635721089637</v>
      </c>
      <c r="H49" s="93">
        <f t="shared" si="3"/>
        <v>258.08273924668373</v>
      </c>
      <c r="I49" s="93">
        <f t="shared" si="6"/>
        <v>655.53015768657667</v>
      </c>
      <c r="K49" s="218" t="s">
        <v>693</v>
      </c>
      <c r="L49" s="219">
        <v>111</v>
      </c>
      <c r="M49" s="219">
        <f t="shared" si="7"/>
        <v>158.59410270000001</v>
      </c>
      <c r="N49" s="220" t="s">
        <v>692</v>
      </c>
      <c r="O49" s="206"/>
      <c r="P49" s="206"/>
      <c r="Q49" s="206"/>
      <c r="R49" s="217"/>
    </row>
    <row r="50" spans="1:18">
      <c r="A50" s="34">
        <f t="shared" si="4"/>
        <v>2900</v>
      </c>
      <c r="C50" s="68">
        <f t="shared" si="0"/>
        <v>47.087386285157869</v>
      </c>
      <c r="D50" s="7">
        <f t="shared" si="1"/>
        <v>25.590970807151013</v>
      </c>
      <c r="F50" s="149">
        <f t="shared" si="2"/>
        <v>0.23963996567935875</v>
      </c>
      <c r="G50" s="93">
        <f t="shared" si="5"/>
        <v>6.0868551282557117</v>
      </c>
      <c r="H50" s="93">
        <f t="shared" si="3"/>
        <v>240.59080567110595</v>
      </c>
      <c r="I50" s="93">
        <f t="shared" si="6"/>
        <v>611.10064640460917</v>
      </c>
      <c r="K50" s="218" t="s">
        <v>540</v>
      </c>
      <c r="L50" s="219">
        <v>157</v>
      </c>
      <c r="M50" s="219">
        <f t="shared" si="7"/>
        <v>224.31778490000002</v>
      </c>
      <c r="N50" s="220" t="s">
        <v>541</v>
      </c>
      <c r="O50" s="206"/>
      <c r="P50" s="206"/>
      <c r="Q50" s="206"/>
      <c r="R50" s="217"/>
    </row>
    <row r="51" spans="1:18">
      <c r="A51" s="34">
        <f t="shared" si="4"/>
        <v>3000</v>
      </c>
      <c r="C51" s="68">
        <f t="shared" si="0"/>
        <v>48.711089260508146</v>
      </c>
      <c r="D51" s="7">
        <f t="shared" si="1"/>
        <v>26.473418076363121</v>
      </c>
      <c r="F51" s="149">
        <f t="shared" si="2"/>
        <v>0.2479034127717504</v>
      </c>
      <c r="G51" s="93">
        <f t="shared" si="5"/>
        <v>6.2967466844024598</v>
      </c>
      <c r="H51" s="93">
        <f t="shared" si="3"/>
        <v>224.81874174377796</v>
      </c>
      <c r="I51" s="93">
        <f t="shared" si="6"/>
        <v>571.03960402919608</v>
      </c>
      <c r="K51" s="458" t="s">
        <v>543</v>
      </c>
      <c r="L51" s="459">
        <v>166</v>
      </c>
      <c r="M51" s="459">
        <f t="shared" si="7"/>
        <v>237.1767662</v>
      </c>
      <c r="N51" s="460" t="s">
        <v>542</v>
      </c>
      <c r="O51" s="461"/>
      <c r="P51" s="461"/>
      <c r="Q51" s="461"/>
      <c r="R51" s="330"/>
    </row>
    <row r="52" spans="1:18">
      <c r="A52" s="34">
        <f t="shared" si="4"/>
        <v>3100</v>
      </c>
      <c r="C52" s="68">
        <f t="shared" si="0"/>
        <v>50.334792235858416</v>
      </c>
      <c r="D52" s="7">
        <f t="shared" si="1"/>
        <v>27.355865345575225</v>
      </c>
      <c r="F52" s="149">
        <f t="shared" si="2"/>
        <v>0.25616685986414206</v>
      </c>
      <c r="G52" s="93">
        <f t="shared" si="5"/>
        <v>6.5066382405492078</v>
      </c>
      <c r="H52" s="93">
        <f t="shared" si="3"/>
        <v>210.54824929177957</v>
      </c>
      <c r="I52" s="93">
        <f t="shared" si="6"/>
        <v>534.79255320112009</v>
      </c>
      <c r="K52" s="388" t="s">
        <v>543</v>
      </c>
      <c r="L52" s="389">
        <v>186</v>
      </c>
      <c r="M52" s="389">
        <f t="shared" ref="M52:M63" si="8">1.4287757*L52</f>
        <v>265.75228020000003</v>
      </c>
      <c r="N52" s="390" t="s">
        <v>630</v>
      </c>
      <c r="O52" s="391"/>
      <c r="P52" s="391"/>
      <c r="Q52" s="392"/>
      <c r="R52" s="217"/>
    </row>
    <row r="53" spans="1:18">
      <c r="A53" s="34">
        <f t="shared" si="4"/>
        <v>3200</v>
      </c>
      <c r="C53" s="68">
        <f t="shared" si="0"/>
        <v>51.958495211208685</v>
      </c>
      <c r="D53" s="7">
        <f t="shared" si="1"/>
        <v>28.238312614787329</v>
      </c>
      <c r="F53" s="149">
        <f t="shared" si="2"/>
        <v>0.26443030695653374</v>
      </c>
      <c r="G53" s="93">
        <f t="shared" si="5"/>
        <v>6.7165297966959567</v>
      </c>
      <c r="H53" s="93">
        <f t="shared" si="3"/>
        <v>197.59459723574236</v>
      </c>
      <c r="I53" s="93">
        <f t="shared" si="6"/>
        <v>501.89027697878561</v>
      </c>
      <c r="K53" s="218" t="s">
        <v>544</v>
      </c>
      <c r="L53" s="219">
        <v>237</v>
      </c>
      <c r="M53" s="219">
        <f t="shared" si="8"/>
        <v>338.61984090000004</v>
      </c>
      <c r="N53" s="220" t="s">
        <v>545</v>
      </c>
      <c r="O53" s="206"/>
      <c r="P53" s="206"/>
      <c r="Q53" s="206"/>
      <c r="R53" s="217"/>
    </row>
    <row r="54" spans="1:18">
      <c r="A54" s="34">
        <f t="shared" si="4"/>
        <v>3300</v>
      </c>
      <c r="C54" s="68">
        <f t="shared" si="0"/>
        <v>53.582198186558955</v>
      </c>
      <c r="D54" s="7">
        <f t="shared" si="1"/>
        <v>29.12075988399943</v>
      </c>
      <c r="F54" s="149">
        <f t="shared" si="2"/>
        <v>0.27269375404892549</v>
      </c>
      <c r="G54" s="93">
        <f t="shared" si="5"/>
        <v>6.9264213528427065</v>
      </c>
      <c r="H54" s="93">
        <f t="shared" si="3"/>
        <v>185.8006130113867</v>
      </c>
      <c r="I54" s="93">
        <f t="shared" si="6"/>
        <v>471.93355704892224</v>
      </c>
      <c r="K54" s="462" t="s">
        <v>697</v>
      </c>
      <c r="L54" s="463">
        <v>228</v>
      </c>
      <c r="M54" s="463">
        <f t="shared" si="8"/>
        <v>325.7608596</v>
      </c>
      <c r="N54" s="464" t="s">
        <v>698</v>
      </c>
      <c r="O54" s="465"/>
      <c r="P54" s="391"/>
      <c r="Q54" s="391"/>
      <c r="R54" s="217"/>
    </row>
    <row r="55" spans="1:18">
      <c r="A55" s="34">
        <f t="shared" si="4"/>
        <v>3400</v>
      </c>
      <c r="C55" s="68">
        <f t="shared" si="0"/>
        <v>55.205901161909239</v>
      </c>
      <c r="D55" s="7">
        <f t="shared" si="1"/>
        <v>30.003207153211541</v>
      </c>
      <c r="F55" s="149">
        <f t="shared" si="2"/>
        <v>0.28095720114131711</v>
      </c>
      <c r="G55" s="93">
        <f t="shared" si="5"/>
        <v>7.1363129089894546</v>
      </c>
      <c r="H55" s="93">
        <f t="shared" si="3"/>
        <v>175.03189236107281</v>
      </c>
      <c r="I55" s="93">
        <f t="shared" si="6"/>
        <v>444.58100659712494</v>
      </c>
      <c r="K55" s="466" t="s">
        <v>546</v>
      </c>
      <c r="L55" s="467">
        <v>232.6</v>
      </c>
      <c r="M55" s="467">
        <f t="shared" si="8"/>
        <v>332.33322781999999</v>
      </c>
      <c r="N55" s="468" t="s">
        <v>545</v>
      </c>
      <c r="O55" s="469"/>
      <c r="P55" s="206"/>
      <c r="Q55" s="206"/>
      <c r="R55" s="217"/>
    </row>
    <row r="56" spans="1:18">
      <c r="A56" s="34">
        <f t="shared" si="4"/>
        <v>3500</v>
      </c>
      <c r="C56" s="68">
        <f t="shared" si="0"/>
        <v>56.829604137259501</v>
      </c>
      <c r="D56" s="7">
        <f t="shared" si="1"/>
        <v>30.885654422423642</v>
      </c>
      <c r="F56" s="149">
        <f t="shared" si="2"/>
        <v>0.2892206482337088</v>
      </c>
      <c r="G56" s="93">
        <f t="shared" si="5"/>
        <v>7.3462044651362035</v>
      </c>
      <c r="H56" s="93">
        <f t="shared" si="3"/>
        <v>165.17295311787771</v>
      </c>
      <c r="I56" s="93">
        <f t="shared" si="6"/>
        <v>419.53930091940941</v>
      </c>
      <c r="K56" s="218" t="s">
        <v>546</v>
      </c>
      <c r="L56" s="219">
        <v>253</v>
      </c>
      <c r="M56" s="219">
        <f t="shared" si="8"/>
        <v>361.48025210000003</v>
      </c>
      <c r="N56" s="220" t="s">
        <v>547</v>
      </c>
      <c r="O56" s="206"/>
      <c r="P56" s="206"/>
      <c r="Q56" s="206"/>
      <c r="R56" s="217"/>
    </row>
    <row r="57" spans="1:18">
      <c r="A57" s="34">
        <f t="shared" si="4"/>
        <v>3600</v>
      </c>
      <c r="C57" s="68">
        <f t="shared" si="0"/>
        <v>58.453307112609771</v>
      </c>
      <c r="D57" s="7">
        <f t="shared" si="1"/>
        <v>31.768101691635742</v>
      </c>
      <c r="F57" s="149">
        <f t="shared" si="2"/>
        <v>0.29748409532610048</v>
      </c>
      <c r="G57" s="93">
        <f t="shared" si="5"/>
        <v>7.5560960212829515</v>
      </c>
      <c r="H57" s="93">
        <f t="shared" si="3"/>
        <v>156.12412621095689</v>
      </c>
      <c r="I57" s="93">
        <f t="shared" si="6"/>
        <v>396.55528057583052</v>
      </c>
      <c r="K57" s="228" t="s">
        <v>563</v>
      </c>
      <c r="L57" s="229">
        <v>262</v>
      </c>
      <c r="M57" s="229">
        <f t="shared" si="8"/>
        <v>374.33923340000001</v>
      </c>
      <c r="N57" s="230" t="s">
        <v>564</v>
      </c>
      <c r="O57" s="206"/>
      <c r="P57" s="206"/>
      <c r="Q57" s="206"/>
      <c r="R57" s="217"/>
    </row>
    <row r="58" spans="1:18">
      <c r="A58" s="34">
        <f t="shared" si="4"/>
        <v>3700</v>
      </c>
      <c r="C58" s="68">
        <f t="shared" si="0"/>
        <v>60.077010087960048</v>
      </c>
      <c r="D58" s="7">
        <f t="shared" si="1"/>
        <v>32.65054896084785</v>
      </c>
      <c r="F58" s="149">
        <f t="shared" si="2"/>
        <v>0.30574754241849217</v>
      </c>
      <c r="G58" s="93">
        <f t="shared" si="5"/>
        <v>7.7659875774297005</v>
      </c>
      <c r="H58" s="93">
        <f t="shared" si="3"/>
        <v>147.79902671249098</v>
      </c>
      <c r="I58" s="93">
        <f t="shared" si="6"/>
        <v>375.40952784972711</v>
      </c>
      <c r="K58" s="393" t="s">
        <v>548</v>
      </c>
      <c r="L58" s="394">
        <v>202</v>
      </c>
      <c r="M58" s="394">
        <f t="shared" si="8"/>
        <v>288.61269140000002</v>
      </c>
      <c r="N58" s="395" t="s">
        <v>549</v>
      </c>
      <c r="O58" s="391"/>
      <c r="P58" s="391"/>
      <c r="Q58" s="206"/>
      <c r="R58" s="217"/>
    </row>
    <row r="59" spans="1:18">
      <c r="A59" s="34">
        <f t="shared" si="4"/>
        <v>3800</v>
      </c>
      <c r="C59" s="68">
        <f t="shared" si="0"/>
        <v>61.700713063310317</v>
      </c>
      <c r="D59" s="7">
        <f t="shared" si="1"/>
        <v>33.53299623005995</v>
      </c>
      <c r="F59" s="149">
        <f t="shared" si="2"/>
        <v>0.31401098951088385</v>
      </c>
      <c r="G59" s="93">
        <f t="shared" si="5"/>
        <v>7.9758791335764494</v>
      </c>
      <c r="H59" s="93">
        <f t="shared" si="3"/>
        <v>140.12248446634359</v>
      </c>
      <c r="I59" s="93">
        <f t="shared" si="6"/>
        <v>355.91111054451272</v>
      </c>
      <c r="K59" s="466" t="s">
        <v>550</v>
      </c>
      <c r="L59" s="467">
        <v>250.6</v>
      </c>
      <c r="M59" s="467">
        <f t="shared" si="8"/>
        <v>358.05119042000001</v>
      </c>
      <c r="N59" s="468" t="s">
        <v>551</v>
      </c>
      <c r="O59" s="469"/>
      <c r="P59" s="469"/>
      <c r="Q59" s="469"/>
      <c r="R59" s="330"/>
    </row>
    <row r="60" spans="1:18">
      <c r="A60" s="34">
        <f t="shared" si="4"/>
        <v>3900</v>
      </c>
      <c r="C60" s="68">
        <f t="shared" si="0"/>
        <v>63.324416038660587</v>
      </c>
      <c r="D60" s="7">
        <f t="shared" si="1"/>
        <v>34.415443499272058</v>
      </c>
      <c r="F60" s="149">
        <f t="shared" si="2"/>
        <v>0.32227443660327554</v>
      </c>
      <c r="G60" s="93">
        <f t="shared" si="5"/>
        <v>8.1857706897231974</v>
      </c>
      <c r="H60" s="93">
        <f t="shared" si="3"/>
        <v>133.02884126850762</v>
      </c>
      <c r="I60" s="93">
        <f t="shared" si="6"/>
        <v>337.89325682200933</v>
      </c>
      <c r="K60" s="218" t="s">
        <v>550</v>
      </c>
      <c r="L60" s="219">
        <v>266</v>
      </c>
      <c r="M60" s="219">
        <f t="shared" si="8"/>
        <v>380.05433620000002</v>
      </c>
      <c r="N60" s="220" t="s">
        <v>552</v>
      </c>
      <c r="O60" s="206"/>
      <c r="P60" s="206"/>
      <c r="Q60" s="206"/>
      <c r="R60" s="217"/>
    </row>
    <row r="61" spans="1:18">
      <c r="A61" s="34">
        <f t="shared" si="4"/>
        <v>4000</v>
      </c>
      <c r="C61" s="68">
        <f t="shared" si="0"/>
        <v>64.948119014010857</v>
      </c>
      <c r="D61" s="7">
        <f t="shared" si="1"/>
        <v>35.297890768484159</v>
      </c>
      <c r="F61" s="149">
        <f t="shared" si="2"/>
        <v>0.33053788369566722</v>
      </c>
      <c r="G61" s="93">
        <f t="shared" si="5"/>
        <v>8.3956622458699464</v>
      </c>
      <c r="H61" s="93">
        <f t="shared" si="3"/>
        <v>126.46054223087508</v>
      </c>
      <c r="I61" s="93">
        <f t="shared" si="6"/>
        <v>321.20977726642269</v>
      </c>
      <c r="K61" s="218" t="s">
        <v>550</v>
      </c>
      <c r="L61" s="219">
        <v>278</v>
      </c>
      <c r="M61" s="219">
        <f t="shared" si="8"/>
        <v>397.1996446</v>
      </c>
      <c r="N61" s="220" t="s">
        <v>553</v>
      </c>
      <c r="O61" s="206"/>
      <c r="P61" s="206"/>
      <c r="Q61" s="206"/>
      <c r="R61" s="330"/>
    </row>
    <row r="62" spans="1:18">
      <c r="A62" s="34">
        <f t="shared" si="4"/>
        <v>4100</v>
      </c>
      <c r="C62" s="68">
        <f t="shared" si="0"/>
        <v>66.571821989361126</v>
      </c>
      <c r="D62" s="7">
        <f t="shared" si="1"/>
        <v>36.180338037696259</v>
      </c>
      <c r="F62" s="149">
        <f t="shared" si="2"/>
        <v>0.33880133078805891</v>
      </c>
      <c r="G62" s="93">
        <f t="shared" si="5"/>
        <v>8.6055538020166953</v>
      </c>
      <c r="H62" s="93">
        <f t="shared" si="3"/>
        <v>120.36696464568716</v>
      </c>
      <c r="I62" s="93">
        <f t="shared" si="6"/>
        <v>305.73209020004538</v>
      </c>
      <c r="K62" s="228" t="s">
        <v>559</v>
      </c>
      <c r="L62" s="229">
        <v>290</v>
      </c>
      <c r="M62" s="229">
        <f t="shared" si="8"/>
        <v>414.34495300000003</v>
      </c>
      <c r="N62" s="230" t="s">
        <v>560</v>
      </c>
      <c r="O62" s="206"/>
      <c r="P62" s="206"/>
      <c r="Q62" s="206"/>
      <c r="R62" s="217"/>
    </row>
    <row r="63" spans="1:18">
      <c r="A63" s="34">
        <f t="shared" si="4"/>
        <v>4200</v>
      </c>
      <c r="C63" s="68">
        <f t="shared" ref="C63:C94" si="9">$A$8*$G$8*A63*$A$18/3456/14.696</f>
        <v>68.19552496471141</v>
      </c>
      <c r="D63" s="7">
        <f t="shared" ref="D63:D94" si="10">C63/$A$16</f>
        <v>37.062785306908374</v>
      </c>
      <c r="F63" s="149">
        <f t="shared" ref="F63:F94" si="11">A63*$G$2^2*$G$5/$H$18</f>
        <v>0.34706477788045059</v>
      </c>
      <c r="G63" s="93">
        <f t="shared" si="5"/>
        <v>8.8154453581634442</v>
      </c>
      <c r="H63" s="93">
        <f t="shared" ref="H63:H94" si="12">$H$19*$H$4/(PI()*(F63/2)^2)</f>
        <v>114.7034396651928</v>
      </c>
      <c r="I63" s="93">
        <f t="shared" si="6"/>
        <v>291.34673674958975</v>
      </c>
      <c r="K63" s="232" t="s">
        <v>554</v>
      </c>
      <c r="L63" s="233">
        <v>376.4</v>
      </c>
      <c r="M63" s="233">
        <f t="shared" si="8"/>
        <v>537.79117348</v>
      </c>
      <c r="N63" s="234" t="s">
        <v>555</v>
      </c>
      <c r="O63" s="235"/>
      <c r="P63" s="235"/>
      <c r="Q63" s="235"/>
      <c r="R63" s="236"/>
    </row>
    <row r="64" spans="1:18">
      <c r="A64" s="34">
        <f t="shared" ref="A64:A95" si="13">$A$29+A63</f>
        <v>4300</v>
      </c>
      <c r="C64" s="68">
        <f t="shared" si="9"/>
        <v>69.819227940061666</v>
      </c>
      <c r="D64" s="7">
        <f t="shared" si="10"/>
        <v>37.945232576120468</v>
      </c>
      <c r="F64" s="149">
        <f t="shared" si="11"/>
        <v>0.35532822497284222</v>
      </c>
      <c r="G64" s="93">
        <f t="shared" si="5"/>
        <v>9.0253369143101914</v>
      </c>
      <c r="H64" s="93">
        <f t="shared" si="12"/>
        <v>109.43043135175779</v>
      </c>
      <c r="I64" s="93">
        <f t="shared" si="6"/>
        <v>277.95329563346479</v>
      </c>
      <c r="K64" s="187"/>
      <c r="L64" s="212"/>
      <c r="M64" s="187"/>
      <c r="N64" s="187"/>
    </row>
    <row r="65" spans="1:14" ht="18">
      <c r="A65" s="34">
        <f t="shared" si="13"/>
        <v>4400</v>
      </c>
      <c r="C65" s="68">
        <f t="shared" si="9"/>
        <v>71.442930915411935</v>
      </c>
      <c r="D65" s="7">
        <f t="shared" si="10"/>
        <v>38.827679845332575</v>
      </c>
      <c r="F65" s="149">
        <f t="shared" si="11"/>
        <v>0.36359167206523396</v>
      </c>
      <c r="G65" s="93">
        <f t="shared" si="5"/>
        <v>9.2352284704569421</v>
      </c>
      <c r="H65" s="93">
        <f t="shared" si="12"/>
        <v>104.51284481890502</v>
      </c>
      <c r="I65" s="93">
        <f t="shared" si="6"/>
        <v>265.46262584001875</v>
      </c>
      <c r="K65" s="187"/>
      <c r="N65" s="224" t="s">
        <v>558</v>
      </c>
    </row>
    <row r="66" spans="1:14">
      <c r="A66" s="34">
        <f t="shared" si="13"/>
        <v>4500</v>
      </c>
      <c r="C66" s="68">
        <f t="shared" si="9"/>
        <v>73.066633890762219</v>
      </c>
      <c r="D66" s="7">
        <f t="shared" si="10"/>
        <v>39.710127114544683</v>
      </c>
      <c r="F66" s="149">
        <f t="shared" si="11"/>
        <v>0.37185511915762559</v>
      </c>
      <c r="G66" s="93">
        <f t="shared" si="5"/>
        <v>9.4451200266036892</v>
      </c>
      <c r="H66" s="93">
        <f t="shared" si="12"/>
        <v>99.919440775012418</v>
      </c>
      <c r="I66" s="93">
        <f t="shared" si="6"/>
        <v>253.79537956853156</v>
      </c>
      <c r="K66" s="223"/>
      <c r="L66" s="212"/>
      <c r="M66" s="187"/>
      <c r="N66" s="187"/>
    </row>
    <row r="67" spans="1:14">
      <c r="A67" s="34">
        <f t="shared" si="13"/>
        <v>4600</v>
      </c>
      <c r="C67" s="68">
        <f t="shared" si="9"/>
        <v>74.690336866112489</v>
      </c>
      <c r="D67" s="7">
        <f t="shared" si="10"/>
        <v>40.592574383756784</v>
      </c>
      <c r="F67" s="149">
        <f t="shared" si="11"/>
        <v>0.38011856625001728</v>
      </c>
      <c r="G67" s="93">
        <f t="shared" si="5"/>
        <v>9.6550115827504381</v>
      </c>
      <c r="H67" s="93">
        <f t="shared" si="12"/>
        <v>95.622338170794023</v>
      </c>
      <c r="I67" s="93">
        <f t="shared" si="6"/>
        <v>242.88073895381683</v>
      </c>
      <c r="K67" s="187"/>
      <c r="L67" s="212"/>
      <c r="M67" s="187"/>
      <c r="N67" s="187"/>
    </row>
    <row r="68" spans="1:14">
      <c r="A68" s="34">
        <f t="shared" si="13"/>
        <v>4700</v>
      </c>
      <c r="C68" s="68">
        <f t="shared" si="9"/>
        <v>76.314039841462758</v>
      </c>
      <c r="D68" s="7">
        <f t="shared" si="10"/>
        <v>41.475021652968891</v>
      </c>
      <c r="F68" s="149">
        <f t="shared" si="11"/>
        <v>0.38838201334240902</v>
      </c>
      <c r="G68" s="93">
        <f t="shared" si="5"/>
        <v>9.8649031388971888</v>
      </c>
      <c r="H68" s="93">
        <f t="shared" si="12"/>
        <v>91.596590117428747</v>
      </c>
      <c r="I68" s="93">
        <f t="shared" si="6"/>
        <v>232.65533889826901</v>
      </c>
      <c r="K68" s="187"/>
      <c r="L68" s="212"/>
      <c r="M68" s="187"/>
      <c r="N68" s="187"/>
    </row>
    <row r="69" spans="1:14">
      <c r="A69" s="34">
        <f t="shared" si="13"/>
        <v>4800</v>
      </c>
      <c r="C69" s="68">
        <f t="shared" si="9"/>
        <v>77.937742816813028</v>
      </c>
      <c r="D69" s="7">
        <f t="shared" si="10"/>
        <v>42.357468922180992</v>
      </c>
      <c r="F69" s="149">
        <f t="shared" si="11"/>
        <v>0.39664546043480065</v>
      </c>
      <c r="G69" s="93">
        <f t="shared" si="5"/>
        <v>10.074794695043936</v>
      </c>
      <c r="H69" s="93">
        <f t="shared" si="12"/>
        <v>87.819820993663257</v>
      </c>
      <c r="I69" s="93">
        <f t="shared" si="6"/>
        <v>223.06234532390468</v>
      </c>
      <c r="K69" s="187"/>
      <c r="L69" s="212"/>
      <c r="M69" s="187"/>
      <c r="N69" s="187"/>
    </row>
    <row r="70" spans="1:14">
      <c r="A70" s="34">
        <f t="shared" si="13"/>
        <v>4900</v>
      </c>
      <c r="C70" s="68">
        <f t="shared" si="9"/>
        <v>79.561445792163312</v>
      </c>
      <c r="D70" s="7">
        <f t="shared" si="10"/>
        <v>43.2399161913931</v>
      </c>
      <c r="F70" s="149">
        <f t="shared" si="11"/>
        <v>0.40490890752719233</v>
      </c>
      <c r="G70" s="93">
        <f t="shared" si="5"/>
        <v>10.284686251190685</v>
      </c>
      <c r="H70" s="93">
        <f t="shared" si="12"/>
        <v>84.271914856060036</v>
      </c>
      <c r="I70" s="93">
        <f t="shared" si="6"/>
        <v>214.05066373439249</v>
      </c>
      <c r="K70" s="187"/>
      <c r="L70" s="212"/>
      <c r="M70" s="187"/>
      <c r="N70" s="187"/>
    </row>
    <row r="71" spans="1:14">
      <c r="A71" s="34">
        <f t="shared" si="13"/>
        <v>5000</v>
      </c>
      <c r="C71" s="68">
        <f t="shared" si="9"/>
        <v>81.185148767513581</v>
      </c>
      <c r="D71" s="7">
        <f t="shared" si="10"/>
        <v>44.122363460605207</v>
      </c>
      <c r="F71" s="149">
        <f t="shared" si="11"/>
        <v>0.41317235461958401</v>
      </c>
      <c r="G71" s="93">
        <f t="shared" si="5"/>
        <v>10.494577807337434</v>
      </c>
      <c r="H71" s="93">
        <f t="shared" si="12"/>
        <v>80.934747027760068</v>
      </c>
      <c r="I71" s="93">
        <f t="shared" si="6"/>
        <v>205.57425745051057</v>
      </c>
      <c r="L71" s="78"/>
    </row>
    <row r="72" spans="1:14">
      <c r="A72" s="34">
        <f t="shared" si="13"/>
        <v>5100</v>
      </c>
      <c r="C72" s="68">
        <f t="shared" si="9"/>
        <v>82.808851742863851</v>
      </c>
      <c r="D72" s="7">
        <f t="shared" si="10"/>
        <v>45.004810729817308</v>
      </c>
      <c r="F72" s="149">
        <f t="shared" si="11"/>
        <v>0.42143580171197575</v>
      </c>
      <c r="G72" s="93">
        <f t="shared" si="5"/>
        <v>10.704469363484183</v>
      </c>
      <c r="H72" s="93">
        <f t="shared" si="12"/>
        <v>77.791952160476782</v>
      </c>
      <c r="I72" s="93">
        <f t="shared" si="6"/>
        <v>197.59155848761102</v>
      </c>
      <c r="L72" s="78"/>
    </row>
    <row r="73" spans="1:14">
      <c r="A73" s="34">
        <f t="shared" si="13"/>
        <v>5200</v>
      </c>
      <c r="C73" s="68">
        <f t="shared" si="9"/>
        <v>84.432554718214107</v>
      </c>
      <c r="D73" s="7">
        <f t="shared" si="10"/>
        <v>45.887257999029401</v>
      </c>
      <c r="F73" s="149">
        <f t="shared" si="11"/>
        <v>0.42969924880436733</v>
      </c>
      <c r="G73" s="93">
        <f t="shared" si="5"/>
        <v>10.91436091963093</v>
      </c>
      <c r="H73" s="93">
        <f t="shared" si="12"/>
        <v>74.828723213535568</v>
      </c>
      <c r="I73" s="93">
        <f t="shared" si="6"/>
        <v>190.06495696238034</v>
      </c>
      <c r="L73" s="78"/>
    </row>
    <row r="74" spans="1:14">
      <c r="A74" s="34">
        <f t="shared" si="13"/>
        <v>5300</v>
      </c>
      <c r="C74" s="68">
        <f t="shared" si="9"/>
        <v>86.056257693564376</v>
      </c>
      <c r="D74" s="7">
        <f t="shared" si="10"/>
        <v>46.769705268241509</v>
      </c>
      <c r="F74" s="149">
        <f t="shared" si="11"/>
        <v>0.43796269589675907</v>
      </c>
      <c r="G74" s="93">
        <f t="shared" si="5"/>
        <v>11.124252475777679</v>
      </c>
      <c r="H74" s="93">
        <f t="shared" si="12"/>
        <v>72.03163672815954</v>
      </c>
      <c r="I74" s="93">
        <f t="shared" si="6"/>
        <v>182.96035728952523</v>
      </c>
      <c r="L74" s="78"/>
    </row>
    <row r="75" spans="1:14">
      <c r="A75" s="34">
        <f t="shared" si="13"/>
        <v>5400</v>
      </c>
      <c r="C75" s="68">
        <f t="shared" si="9"/>
        <v>87.67996066891466</v>
      </c>
      <c r="D75" s="7">
        <f t="shared" si="10"/>
        <v>47.652152537453617</v>
      </c>
      <c r="F75" s="149">
        <f t="shared" si="11"/>
        <v>0.44622614298915075</v>
      </c>
      <c r="G75" s="93">
        <f t="shared" si="5"/>
        <v>11.334144031924428</v>
      </c>
      <c r="H75" s="93">
        <f t="shared" si="12"/>
        <v>69.388500538203061</v>
      </c>
      <c r="I75" s="93">
        <f t="shared" si="6"/>
        <v>176.24679136703577</v>
      </c>
      <c r="L75" s="78"/>
    </row>
    <row r="76" spans="1:14">
      <c r="A76" s="34">
        <f t="shared" si="13"/>
        <v>5500</v>
      </c>
      <c r="C76" s="68">
        <f t="shared" si="9"/>
        <v>89.30366364426493</v>
      </c>
      <c r="D76" s="7">
        <f t="shared" si="10"/>
        <v>48.534599806665717</v>
      </c>
      <c r="F76" s="149">
        <f t="shared" si="11"/>
        <v>0.45448959008154238</v>
      </c>
      <c r="G76" s="93">
        <f t="shared" si="5"/>
        <v>11.544035588071177</v>
      </c>
      <c r="H76" s="93">
        <f t="shared" si="12"/>
        <v>66.888220684099224</v>
      </c>
      <c r="I76" s="93">
        <f t="shared" si="6"/>
        <v>169.89608053761202</v>
      </c>
      <c r="L76" s="78"/>
    </row>
    <row r="77" spans="1:14">
      <c r="A77" s="34">
        <f t="shared" si="13"/>
        <v>5600</v>
      </c>
      <c r="C77" s="68">
        <f t="shared" si="9"/>
        <v>90.927366619615213</v>
      </c>
      <c r="D77" s="7">
        <f t="shared" si="10"/>
        <v>49.417047075877832</v>
      </c>
      <c r="F77" s="149">
        <f t="shared" si="11"/>
        <v>0.46275303717393418</v>
      </c>
      <c r="G77" s="93">
        <f t="shared" si="5"/>
        <v>11.753927144217927</v>
      </c>
      <c r="H77" s="93">
        <f t="shared" si="12"/>
        <v>64.520684811670932</v>
      </c>
      <c r="I77" s="93">
        <f t="shared" si="6"/>
        <v>163.88253942164417</v>
      </c>
      <c r="L77" s="78"/>
    </row>
    <row r="78" spans="1:14">
      <c r="A78" s="34">
        <f t="shared" si="13"/>
        <v>5700</v>
      </c>
      <c r="C78" s="68">
        <f t="shared" si="9"/>
        <v>92.551069594965469</v>
      </c>
      <c r="D78" s="7">
        <f t="shared" si="10"/>
        <v>50.299494345089926</v>
      </c>
      <c r="F78" s="149">
        <f t="shared" si="11"/>
        <v>0.47101648426632575</v>
      </c>
      <c r="G78" s="93">
        <f t="shared" si="5"/>
        <v>11.963818700364673</v>
      </c>
      <c r="H78" s="93">
        <f t="shared" si="12"/>
        <v>62.276659762819378</v>
      </c>
      <c r="I78" s="93">
        <f t="shared" si="6"/>
        <v>158.18271579756123</v>
      </c>
      <c r="L78" s="78"/>
    </row>
    <row r="79" spans="1:14">
      <c r="A79" s="34">
        <f t="shared" si="13"/>
        <v>5800</v>
      </c>
      <c r="C79" s="68">
        <f t="shared" si="9"/>
        <v>94.174772570315739</v>
      </c>
      <c r="D79" s="7">
        <f t="shared" si="10"/>
        <v>51.181941614302026</v>
      </c>
      <c r="F79" s="149">
        <f t="shared" si="11"/>
        <v>0.47927993135871749</v>
      </c>
      <c r="G79" s="93">
        <f t="shared" si="5"/>
        <v>12.173710256511423</v>
      </c>
      <c r="H79" s="93">
        <f t="shared" si="12"/>
        <v>60.147701417776489</v>
      </c>
      <c r="I79" s="93">
        <f t="shared" si="6"/>
        <v>152.77516160115229</v>
      </c>
      <c r="L79" s="78"/>
    </row>
    <row r="80" spans="1:14">
      <c r="A80" s="34">
        <f t="shared" si="13"/>
        <v>5900</v>
      </c>
      <c r="C80" s="68">
        <f t="shared" si="9"/>
        <v>95.798475545666022</v>
      </c>
      <c r="D80" s="7">
        <f t="shared" si="10"/>
        <v>52.064388883514141</v>
      </c>
      <c r="F80" s="149">
        <f t="shared" si="11"/>
        <v>0.48754337845110918</v>
      </c>
      <c r="G80" s="93">
        <f t="shared" si="5"/>
        <v>12.383601812658172</v>
      </c>
      <c r="H80" s="93">
        <f t="shared" si="12"/>
        <v>58.126075142028185</v>
      </c>
      <c r="I80" s="93">
        <f t="shared" si="6"/>
        <v>147.64023086075159</v>
      </c>
    </row>
    <row r="81" spans="1:9">
      <c r="A81" s="34">
        <f t="shared" si="13"/>
        <v>6000</v>
      </c>
      <c r="C81" s="68">
        <f t="shared" si="9"/>
        <v>97.422178521016292</v>
      </c>
      <c r="D81" s="7">
        <f t="shared" si="10"/>
        <v>52.946836152726242</v>
      </c>
      <c r="F81" s="149">
        <f t="shared" si="11"/>
        <v>0.49580682554350081</v>
      </c>
      <c r="G81" s="93">
        <f t="shared" si="5"/>
        <v>12.59349336880492</v>
      </c>
      <c r="H81" s="93">
        <f t="shared" si="12"/>
        <v>56.204685435944491</v>
      </c>
      <c r="I81" s="93">
        <f t="shared" si="6"/>
        <v>142.75990100729902</v>
      </c>
    </row>
    <row r="82" spans="1:9">
      <c r="A82" s="34">
        <f t="shared" si="13"/>
        <v>6100</v>
      </c>
      <c r="C82" s="68">
        <f t="shared" si="9"/>
        <v>99.045881496366547</v>
      </c>
      <c r="D82" s="7">
        <f t="shared" si="10"/>
        <v>53.829283421938335</v>
      </c>
      <c r="F82" s="149">
        <f t="shared" si="11"/>
        <v>0.50407027263589255</v>
      </c>
      <c r="G82" s="93">
        <f t="shared" si="5"/>
        <v>12.80338492495167</v>
      </c>
      <c r="H82" s="93">
        <f t="shared" si="12"/>
        <v>54.377013590271453</v>
      </c>
      <c r="I82" s="93">
        <f t="shared" si="6"/>
        <v>138.1176145192895</v>
      </c>
    </row>
    <row r="83" spans="1:9">
      <c r="A83" s="34">
        <f t="shared" si="13"/>
        <v>6200</v>
      </c>
      <c r="C83" s="68">
        <f t="shared" si="9"/>
        <v>100.66958447171683</v>
      </c>
      <c r="D83" s="7">
        <f t="shared" si="10"/>
        <v>54.71173069115045</v>
      </c>
      <c r="F83" s="149">
        <f t="shared" si="11"/>
        <v>0.51233371972828412</v>
      </c>
      <c r="G83" s="93">
        <f t="shared" si="5"/>
        <v>13.013276481098416</v>
      </c>
      <c r="H83" s="93">
        <f t="shared" si="12"/>
        <v>52.637062322944892</v>
      </c>
      <c r="I83" s="93">
        <f t="shared" si="6"/>
        <v>133.69813830028002</v>
      </c>
    </row>
    <row r="84" spans="1:9">
      <c r="A84" s="34">
        <f t="shared" si="13"/>
        <v>6300</v>
      </c>
      <c r="C84" s="68">
        <f t="shared" si="9"/>
        <v>102.29328744706709</v>
      </c>
      <c r="D84" s="7">
        <f t="shared" si="10"/>
        <v>55.594177960362543</v>
      </c>
      <c r="F84" s="149">
        <f t="shared" si="11"/>
        <v>0.52059716682067581</v>
      </c>
      <c r="G84" s="93">
        <f t="shared" si="5"/>
        <v>13.223168037245165</v>
      </c>
      <c r="H84" s="93">
        <f t="shared" si="12"/>
        <v>50.979306517863492</v>
      </c>
      <c r="I84" s="93">
        <f t="shared" si="6"/>
        <v>129.48743855537327</v>
      </c>
    </row>
    <row r="85" spans="1:9">
      <c r="A85" s="34">
        <f t="shared" si="13"/>
        <v>6400</v>
      </c>
      <c r="C85" s="68">
        <f t="shared" si="9"/>
        <v>103.91699042241737</v>
      </c>
      <c r="D85" s="7">
        <f t="shared" si="10"/>
        <v>56.476625229574658</v>
      </c>
      <c r="F85" s="149">
        <f t="shared" si="11"/>
        <v>0.52886061391306749</v>
      </c>
      <c r="G85" s="93">
        <f t="shared" si="5"/>
        <v>13.433059593391913</v>
      </c>
      <c r="H85" s="93">
        <f t="shared" si="12"/>
        <v>49.398649308935589</v>
      </c>
      <c r="I85" s="93">
        <f t="shared" si="6"/>
        <v>125.4725692446964</v>
      </c>
    </row>
    <row r="86" spans="1:9">
      <c r="A86" s="34">
        <f t="shared" si="13"/>
        <v>6500</v>
      </c>
      <c r="C86" s="68">
        <f t="shared" si="9"/>
        <v>105.54069339776765</v>
      </c>
      <c r="D86" s="7">
        <f t="shared" si="10"/>
        <v>57.359072498786766</v>
      </c>
      <c r="F86" s="149">
        <f t="shared" si="11"/>
        <v>0.53712406100545917</v>
      </c>
      <c r="G86" s="93">
        <f t="shared" si="5"/>
        <v>13.642951149538662</v>
      </c>
      <c r="H86" s="93">
        <f t="shared" si="12"/>
        <v>47.890382856662761</v>
      </c>
      <c r="I86" s="93">
        <f t="shared" si="6"/>
        <v>121.64157245592341</v>
      </c>
    </row>
    <row r="87" spans="1:9">
      <c r="A87" s="34">
        <f t="shared" si="13"/>
        <v>6600</v>
      </c>
      <c r="C87" s="68">
        <f t="shared" si="9"/>
        <v>107.16439637311791</v>
      </c>
      <c r="D87" s="7">
        <f t="shared" si="10"/>
        <v>58.241519767998859</v>
      </c>
      <c r="F87" s="149">
        <f t="shared" si="11"/>
        <v>0.54538750809785097</v>
      </c>
      <c r="G87" s="93">
        <f t="shared" si="5"/>
        <v>13.852842705685413</v>
      </c>
      <c r="H87" s="93">
        <f t="shared" si="12"/>
        <v>46.450153252846675</v>
      </c>
      <c r="I87" s="93">
        <f t="shared" si="6"/>
        <v>117.98338926223056</v>
      </c>
    </row>
    <row r="88" spans="1:9">
      <c r="A88" s="34">
        <f t="shared" si="13"/>
        <v>6700</v>
      </c>
      <c r="C88" s="68">
        <f t="shared" si="9"/>
        <v>108.78809934846818</v>
      </c>
      <c r="D88" s="7">
        <f t="shared" si="10"/>
        <v>59.123967037210967</v>
      </c>
      <c r="F88" s="149">
        <f t="shared" si="11"/>
        <v>0.55365095519024266</v>
      </c>
      <c r="G88" s="93">
        <f t="shared" si="5"/>
        <v>14.062734261832162</v>
      </c>
      <c r="H88" s="93">
        <f t="shared" si="12"/>
        <v>45.073929064245952</v>
      </c>
      <c r="I88" s="93">
        <f t="shared" si="6"/>
        <v>114.48777982318472</v>
      </c>
    </row>
    <row r="89" spans="1:9">
      <c r="A89" s="34">
        <f t="shared" si="13"/>
        <v>6800</v>
      </c>
      <c r="C89" s="68">
        <f t="shared" si="9"/>
        <v>110.41180232381848</v>
      </c>
      <c r="D89" s="7">
        <f t="shared" si="10"/>
        <v>60.006414306423082</v>
      </c>
      <c r="F89" s="149">
        <f t="shared" si="11"/>
        <v>0.56191440228263423</v>
      </c>
      <c r="G89" s="93">
        <f t="shared" si="5"/>
        <v>14.272625817978909</v>
      </c>
      <c r="H89" s="93">
        <f t="shared" si="12"/>
        <v>43.757973090268202</v>
      </c>
      <c r="I89" s="93">
        <f t="shared" si="6"/>
        <v>111.14525164928124</v>
      </c>
    </row>
    <row r="90" spans="1:9">
      <c r="A90" s="34">
        <f t="shared" si="13"/>
        <v>6900</v>
      </c>
      <c r="C90" s="68">
        <f t="shared" si="9"/>
        <v>112.03550529916873</v>
      </c>
      <c r="D90" s="7">
        <f t="shared" si="10"/>
        <v>60.888861575635175</v>
      </c>
      <c r="F90" s="149">
        <f t="shared" si="11"/>
        <v>0.57017784937502591</v>
      </c>
      <c r="G90" s="93">
        <f t="shared" si="5"/>
        <v>14.482517374125658</v>
      </c>
      <c r="H90" s="93">
        <f t="shared" si="12"/>
        <v>42.498816964797342</v>
      </c>
      <c r="I90" s="93">
        <f t="shared" si="6"/>
        <v>107.94699509058525</v>
      </c>
    </row>
    <row r="91" spans="1:9">
      <c r="A91" s="34">
        <f t="shared" si="13"/>
        <v>7000</v>
      </c>
      <c r="C91" s="68">
        <f t="shared" si="9"/>
        <v>113.659208274519</v>
      </c>
      <c r="D91" s="7">
        <f t="shared" si="10"/>
        <v>61.771308844847283</v>
      </c>
      <c r="F91" s="149">
        <f t="shared" si="11"/>
        <v>0.5784412964674176</v>
      </c>
      <c r="G91" s="93">
        <f t="shared" si="5"/>
        <v>14.692408930272407</v>
      </c>
      <c r="H91" s="93">
        <f t="shared" si="12"/>
        <v>41.293238279469428</v>
      </c>
      <c r="I91" s="93">
        <f t="shared" si="6"/>
        <v>104.88482522985235</v>
      </c>
    </row>
    <row r="92" spans="1:9">
      <c r="A92" s="34">
        <f t="shared" si="13"/>
        <v>7100</v>
      </c>
      <c r="C92" s="68">
        <f t="shared" si="9"/>
        <v>115.28291124986927</v>
      </c>
      <c r="D92" s="7">
        <f t="shared" si="10"/>
        <v>62.653756114059384</v>
      </c>
      <c r="F92" s="149">
        <f t="shared" si="11"/>
        <v>0.58670474355980928</v>
      </c>
      <c r="G92" s="93">
        <f t="shared" si="5"/>
        <v>14.902300486419154</v>
      </c>
      <c r="H92" s="93">
        <f t="shared" si="12"/>
        <v>40.138239946320205</v>
      </c>
      <c r="I92" s="93">
        <f t="shared" si="6"/>
        <v>101.95112946365332</v>
      </c>
    </row>
    <row r="93" spans="1:9">
      <c r="A93" s="34">
        <f t="shared" si="13"/>
        <v>7200</v>
      </c>
      <c r="C93" s="68">
        <f t="shared" si="9"/>
        <v>116.90661422521954</v>
      </c>
      <c r="D93" s="7">
        <f t="shared" si="10"/>
        <v>63.536203383271484</v>
      </c>
      <c r="F93" s="149">
        <f t="shared" si="11"/>
        <v>0.59496819065220097</v>
      </c>
      <c r="G93" s="93">
        <f t="shared" si="5"/>
        <v>15.112192042565903</v>
      </c>
      <c r="H93" s="93">
        <f t="shared" si="12"/>
        <v>39.031031552739222</v>
      </c>
      <c r="I93" s="93">
        <f t="shared" si="6"/>
        <v>99.138820143957631</v>
      </c>
    </row>
    <row r="94" spans="1:9">
      <c r="A94" s="34">
        <f t="shared" si="13"/>
        <v>7300</v>
      </c>
      <c r="C94" s="68">
        <f t="shared" si="9"/>
        <v>118.53031720056983</v>
      </c>
      <c r="D94" s="7">
        <f t="shared" si="10"/>
        <v>64.418650652483592</v>
      </c>
      <c r="F94" s="149">
        <f t="shared" si="11"/>
        <v>0.60323163774459254</v>
      </c>
      <c r="G94" s="93">
        <f t="shared" si="5"/>
        <v>15.32208359871265</v>
      </c>
      <c r="H94" s="93">
        <f t="shared" si="12"/>
        <v>37.969012491912224</v>
      </c>
      <c r="I94" s="93">
        <f t="shared" si="6"/>
        <v>96.441291729457049</v>
      </c>
    </row>
    <row r="95" spans="1:9">
      <c r="A95" s="34">
        <f t="shared" si="13"/>
        <v>7400</v>
      </c>
      <c r="C95" s="68">
        <f t="shared" ref="C95:C101" si="14">$A$8*$G$8*A95*$A$18/3456/14.696</f>
        <v>120.1540201759201</v>
      </c>
      <c r="D95" s="7">
        <f t="shared" ref="D95:D101" si="15">C95/$A$16</f>
        <v>65.3010979216957</v>
      </c>
      <c r="F95" s="149">
        <f t="shared" ref="F95:F101" si="16">A95*$G$2^2*$G$5/$H$18</f>
        <v>0.61149508483698434</v>
      </c>
      <c r="G95" s="93">
        <f t="shared" si="5"/>
        <v>15.531975154859401</v>
      </c>
      <c r="H95" s="93">
        <f t="shared" ref="H95:H101" si="17">$H$19*$H$4/(PI()*(F95/2)^2)</f>
        <v>36.949756678122746</v>
      </c>
      <c r="I95" s="93">
        <f t="shared" si="6"/>
        <v>93.852381962431778</v>
      </c>
    </row>
    <row r="96" spans="1:9">
      <c r="A96" s="34">
        <f t="shared" ref="A96:A115" si="18">$A$29+A95</f>
        <v>7500</v>
      </c>
      <c r="C96" s="68">
        <f t="shared" si="14"/>
        <v>121.77772315127035</v>
      </c>
      <c r="D96" s="7">
        <f t="shared" si="15"/>
        <v>66.183545190907793</v>
      </c>
      <c r="F96" s="149">
        <f t="shared" si="16"/>
        <v>0.61975853192937613</v>
      </c>
      <c r="G96" s="93">
        <f t="shared" ref="G96:G101" si="19">F96*25.4</f>
        <v>15.741866711006153</v>
      </c>
      <c r="H96" s="93">
        <f t="shared" si="17"/>
        <v>35.97099867900446</v>
      </c>
      <c r="I96" s="93">
        <f t="shared" ref="I96:I101" si="20">2.54*H96</f>
        <v>91.366336644671335</v>
      </c>
    </row>
    <row r="97" spans="1:9">
      <c r="A97" s="117">
        <f t="shared" si="18"/>
        <v>7600</v>
      </c>
      <c r="C97" s="68">
        <f t="shared" si="14"/>
        <v>123.40142612662063</v>
      </c>
      <c r="D97" s="68">
        <f t="shared" si="15"/>
        <v>67.065992460119901</v>
      </c>
      <c r="F97" s="149">
        <f t="shared" si="16"/>
        <v>0.62802197902176771</v>
      </c>
      <c r="G97" s="93">
        <f t="shared" si="19"/>
        <v>15.951758267152899</v>
      </c>
      <c r="H97" s="93">
        <f t="shared" si="17"/>
        <v>35.030621116585898</v>
      </c>
      <c r="I97" s="93">
        <f t="shared" si="20"/>
        <v>88.977777636128181</v>
      </c>
    </row>
    <row r="98" spans="1:9">
      <c r="A98" s="117">
        <f t="shared" si="18"/>
        <v>7700</v>
      </c>
      <c r="C98" s="68">
        <f t="shared" si="14"/>
        <v>125.02512910197092</v>
      </c>
      <c r="D98" s="68">
        <f t="shared" si="15"/>
        <v>67.948439729332023</v>
      </c>
      <c r="F98" s="149">
        <f t="shared" si="16"/>
        <v>0.63628542611415939</v>
      </c>
      <c r="G98" s="93">
        <f t="shared" si="19"/>
        <v>16.161649823299648</v>
      </c>
      <c r="H98" s="93">
        <f t="shared" si="17"/>
        <v>34.126643206173071</v>
      </c>
      <c r="I98" s="93">
        <f t="shared" si="20"/>
        <v>86.681673743679596</v>
      </c>
    </row>
    <row r="99" spans="1:9">
      <c r="A99" s="117">
        <f t="shared" si="18"/>
        <v>7800</v>
      </c>
      <c r="C99" s="68">
        <f t="shared" si="14"/>
        <v>126.64883207732117</v>
      </c>
      <c r="D99" s="68">
        <f t="shared" si="15"/>
        <v>68.830886998544116</v>
      </c>
      <c r="F99" s="149">
        <f t="shared" si="16"/>
        <v>0.64454887320655108</v>
      </c>
      <c r="G99" s="93">
        <f t="shared" si="19"/>
        <v>16.371541379446395</v>
      </c>
      <c r="H99" s="93">
        <f t="shared" si="17"/>
        <v>33.257210317126905</v>
      </c>
      <c r="I99" s="93">
        <f t="shared" si="20"/>
        <v>84.473314205502334</v>
      </c>
    </row>
    <row r="100" spans="1:9">
      <c r="A100" s="117">
        <f t="shared" si="18"/>
        <v>7900</v>
      </c>
      <c r="C100" s="68">
        <f t="shared" si="14"/>
        <v>128.27253505267146</v>
      </c>
      <c r="D100" s="68">
        <f t="shared" si="15"/>
        <v>69.713334267756224</v>
      </c>
      <c r="F100" s="149">
        <f t="shared" si="16"/>
        <v>0.65281232029894276</v>
      </c>
      <c r="G100" s="93">
        <f t="shared" si="19"/>
        <v>16.581432935593146</v>
      </c>
      <c r="H100" s="93">
        <f t="shared" si="17"/>
        <v>32.420584452715929</v>
      </c>
      <c r="I100" s="93">
        <f t="shared" si="20"/>
        <v>82.348284509898463</v>
      </c>
    </row>
    <row r="101" spans="1:9">
      <c r="A101" s="117">
        <f t="shared" si="18"/>
        <v>8000</v>
      </c>
      <c r="C101" s="68">
        <f t="shared" si="14"/>
        <v>129.89623802802171</v>
      </c>
      <c r="D101" s="68">
        <f t="shared" si="15"/>
        <v>70.595781536968317</v>
      </c>
      <c r="F101" s="149">
        <f t="shared" si="16"/>
        <v>0.66107576739133445</v>
      </c>
      <c r="G101" s="93">
        <f t="shared" si="19"/>
        <v>16.791324491739893</v>
      </c>
      <c r="H101" s="93">
        <f t="shared" si="17"/>
        <v>31.615135557718769</v>
      </c>
      <c r="I101" s="93">
        <f t="shared" si="20"/>
        <v>80.302444316605673</v>
      </c>
    </row>
    <row r="102" spans="1:9">
      <c r="A102" s="196">
        <f t="shared" si="18"/>
        <v>8100</v>
      </c>
      <c r="C102" s="68">
        <f t="shared" ref="C102:C110" si="21">$A$8*$G$8*A102*$A$18/3456/14.696</f>
        <v>131.519941003372</v>
      </c>
      <c r="D102" s="68">
        <f t="shared" ref="D102:D110" si="22">C102/$A$16</f>
        <v>71.478228806180425</v>
      </c>
      <c r="F102" s="149">
        <f t="shared" ref="F102:F110" si="23">A102*$G$2^2*$G$5/$H$18</f>
        <v>0.66933921448372602</v>
      </c>
      <c r="G102" s="93">
        <f t="shared" ref="G102:G110" si="24">F102*25.4</f>
        <v>17.00121604788664</v>
      </c>
      <c r="H102" s="93">
        <f t="shared" ref="H102:H110" si="25">$H$19*$H$4/(PI()*(F102/2)^2)</f>
        <v>30.839333572534702</v>
      </c>
      <c r="I102" s="93">
        <f t="shared" ref="I102:I110" si="26">2.54*H102</f>
        <v>78.331907274238148</v>
      </c>
    </row>
    <row r="103" spans="1:9">
      <c r="A103" s="196">
        <f t="shared" si="18"/>
        <v>8200</v>
      </c>
      <c r="C103" s="68">
        <f t="shared" si="21"/>
        <v>133.14364397872225</v>
      </c>
      <c r="D103" s="68">
        <f t="shared" si="22"/>
        <v>72.360676075392519</v>
      </c>
      <c r="F103" s="149">
        <f t="shared" si="23"/>
        <v>0.67760266157611782</v>
      </c>
      <c r="G103" s="93">
        <f t="shared" si="24"/>
        <v>17.211107604033391</v>
      </c>
      <c r="H103" s="93">
        <f t="shared" si="25"/>
        <v>30.09174116142179</v>
      </c>
      <c r="I103" s="93">
        <f t="shared" si="26"/>
        <v>76.433022550011344</v>
      </c>
    </row>
    <row r="104" spans="1:9">
      <c r="A104" s="196">
        <f t="shared" si="18"/>
        <v>8300</v>
      </c>
      <c r="C104" s="68">
        <f t="shared" si="21"/>
        <v>134.76734695407254</v>
      </c>
      <c r="D104" s="68">
        <f t="shared" si="22"/>
        <v>73.243123344604641</v>
      </c>
      <c r="F104" s="149">
        <f t="shared" si="23"/>
        <v>0.6858661086685095</v>
      </c>
      <c r="G104" s="93">
        <f t="shared" si="24"/>
        <v>17.420999160180141</v>
      </c>
      <c r="H104" s="93">
        <f t="shared" si="25"/>
        <v>29.37100705028308</v>
      </c>
      <c r="I104" s="93">
        <f t="shared" si="26"/>
        <v>74.602357907719025</v>
      </c>
    </row>
    <row r="105" spans="1:9">
      <c r="A105" s="196">
        <f t="shared" si="18"/>
        <v>8400</v>
      </c>
      <c r="C105" s="68">
        <f t="shared" si="21"/>
        <v>136.39104992942282</v>
      </c>
      <c r="D105" s="68">
        <f t="shared" si="22"/>
        <v>74.125570613816748</v>
      </c>
      <c r="F105" s="149">
        <f t="shared" si="23"/>
        <v>0.69412955576090118</v>
      </c>
      <c r="G105" s="93">
        <f t="shared" si="24"/>
        <v>17.630890716326888</v>
      </c>
      <c r="H105" s="93">
        <f t="shared" si="25"/>
        <v>28.675859916298201</v>
      </c>
      <c r="I105" s="93">
        <f t="shared" si="26"/>
        <v>72.836684187397438</v>
      </c>
    </row>
    <row r="106" spans="1:9">
      <c r="A106" s="196">
        <f t="shared" si="18"/>
        <v>8500</v>
      </c>
      <c r="C106" s="68">
        <f t="shared" si="21"/>
        <v>138.01475290477308</v>
      </c>
      <c r="D106" s="68">
        <f t="shared" si="22"/>
        <v>75.008017883028842</v>
      </c>
      <c r="F106" s="149">
        <f t="shared" si="23"/>
        <v>0.70239300285329287</v>
      </c>
      <c r="G106" s="93">
        <f t="shared" si="24"/>
        <v>17.840782272473639</v>
      </c>
      <c r="H106" s="93">
        <f t="shared" si="25"/>
        <v>28.005102777771643</v>
      </c>
      <c r="I106" s="93">
        <f t="shared" si="26"/>
        <v>71.13296105553998</v>
      </c>
    </row>
    <row r="107" spans="1:9">
      <c r="A107" s="196">
        <f t="shared" si="18"/>
        <v>8600</v>
      </c>
      <c r="C107" s="68">
        <f t="shared" si="21"/>
        <v>139.63845588012333</v>
      </c>
      <c r="D107" s="68">
        <f t="shared" si="22"/>
        <v>75.890465152240935</v>
      </c>
      <c r="F107" s="149">
        <f t="shared" si="23"/>
        <v>0.71065644994568444</v>
      </c>
      <c r="G107" s="93">
        <f t="shared" si="24"/>
        <v>18.050673828620383</v>
      </c>
      <c r="H107" s="93">
        <f t="shared" si="25"/>
        <v>27.357607837939447</v>
      </c>
      <c r="I107" s="93">
        <f t="shared" si="26"/>
        <v>69.488323908366198</v>
      </c>
    </row>
    <row r="108" spans="1:9">
      <c r="A108" s="196">
        <f t="shared" si="18"/>
        <v>8700</v>
      </c>
      <c r="C108" s="68">
        <f t="shared" si="21"/>
        <v>141.26215885547361</v>
      </c>
      <c r="D108" s="68">
        <f t="shared" si="22"/>
        <v>76.772912421453043</v>
      </c>
      <c r="F108" s="149">
        <f t="shared" si="23"/>
        <v>0.71891989703807613</v>
      </c>
      <c r="G108" s="93">
        <f t="shared" si="24"/>
        <v>18.260565384767133</v>
      </c>
      <c r="H108" s="93">
        <f t="shared" si="25"/>
        <v>26.732311741234003</v>
      </c>
      <c r="I108" s="93">
        <f t="shared" si="26"/>
        <v>67.900071822734375</v>
      </c>
    </row>
    <row r="109" spans="1:9">
      <c r="A109" s="196">
        <f t="shared" si="18"/>
        <v>8800</v>
      </c>
      <c r="C109" s="68">
        <f t="shared" si="21"/>
        <v>142.88586183082387</v>
      </c>
      <c r="D109" s="68">
        <f t="shared" si="22"/>
        <v>77.655359690665151</v>
      </c>
      <c r="F109" s="149">
        <f t="shared" si="23"/>
        <v>0.72718334413046792</v>
      </c>
      <c r="G109" s="93">
        <f t="shared" si="24"/>
        <v>18.470456940913884</v>
      </c>
      <c r="H109" s="93">
        <f t="shared" si="25"/>
        <v>26.128211204726256</v>
      </c>
      <c r="I109" s="93">
        <f t="shared" si="26"/>
        <v>66.365656460004686</v>
      </c>
    </row>
    <row r="110" spans="1:9">
      <c r="A110" s="196">
        <f t="shared" si="18"/>
        <v>8900</v>
      </c>
      <c r="C110" s="68">
        <f t="shared" si="21"/>
        <v>144.50956480617418</v>
      </c>
      <c r="D110" s="68">
        <f t="shared" si="22"/>
        <v>78.537806959877273</v>
      </c>
      <c r="F110" s="149">
        <f t="shared" si="23"/>
        <v>0.7354467912228595</v>
      </c>
      <c r="G110" s="93">
        <f t="shared" si="24"/>
        <v>18.680348497060631</v>
      </c>
      <c r="H110" s="93">
        <f t="shared" si="25"/>
        <v>25.544358991213251</v>
      </c>
      <c r="I110" s="93">
        <f t="shared" si="26"/>
        <v>64.882671837681656</v>
      </c>
    </row>
    <row r="111" spans="1:9">
      <c r="A111" s="196">
        <f t="shared" si="18"/>
        <v>9000</v>
      </c>
      <c r="C111" s="68">
        <f t="shared" ref="C111:C115" si="27">$A$8*$G$8*A111*$A$18/3456/14.696</f>
        <v>146.13326778152444</v>
      </c>
      <c r="D111" s="68">
        <f t="shared" ref="D111:D115" si="28">C111/$A$16</f>
        <v>79.420254229089366</v>
      </c>
      <c r="F111" s="149">
        <f t="shared" ref="F111:F115" si="29">A111*$G$2^2*$G$5/$H$18</f>
        <v>0.74371023831525118</v>
      </c>
      <c r="G111" s="93">
        <f t="shared" ref="G111:G115" si="30">F111*25.4</f>
        <v>18.890240053207378</v>
      </c>
      <c r="H111" s="93">
        <f t="shared" ref="H111:H115" si="31">$H$19*$H$4/(PI()*(F111/2)^2)</f>
        <v>24.979860193753105</v>
      </c>
      <c r="I111" s="93">
        <f t="shared" ref="I111:I115" si="32">2.54*H111</f>
        <v>63.44884489213289</v>
      </c>
    </row>
    <row r="112" spans="1:9">
      <c r="A112" s="196">
        <f t="shared" si="18"/>
        <v>9100</v>
      </c>
      <c r="C112" s="68">
        <f t="shared" si="27"/>
        <v>147.75697075687472</v>
      </c>
      <c r="D112" s="68">
        <f t="shared" si="28"/>
        <v>80.302701498301474</v>
      </c>
      <c r="F112" s="149">
        <f t="shared" si="29"/>
        <v>0.75197368540764298</v>
      </c>
      <c r="G112" s="93">
        <f t="shared" si="30"/>
        <v>19.100131609354129</v>
      </c>
      <c r="H112" s="93">
        <f t="shared" si="31"/>
        <v>24.433868804419767</v>
      </c>
      <c r="I112" s="93">
        <f t="shared" si="32"/>
        <v>62.062026763226207</v>
      </c>
    </row>
    <row r="113" spans="1:9">
      <c r="A113" s="196">
        <f t="shared" si="18"/>
        <v>9200</v>
      </c>
      <c r="C113" s="68">
        <f t="shared" si="27"/>
        <v>149.38067373222498</v>
      </c>
      <c r="D113" s="68">
        <f t="shared" si="28"/>
        <v>81.185148767513567</v>
      </c>
      <c r="F113" s="149">
        <f t="shared" si="29"/>
        <v>0.76023713250003455</v>
      </c>
      <c r="G113" s="93">
        <f t="shared" si="30"/>
        <v>19.310023165500876</v>
      </c>
      <c r="H113" s="93">
        <f t="shared" si="31"/>
        <v>23.905584542698506</v>
      </c>
      <c r="I113" s="93">
        <f t="shared" si="32"/>
        <v>60.720184738454208</v>
      </c>
    </row>
    <row r="114" spans="1:9">
      <c r="A114" s="196">
        <f t="shared" si="18"/>
        <v>9300</v>
      </c>
      <c r="C114" s="68">
        <f t="shared" si="27"/>
        <v>151.00437670757523</v>
      </c>
      <c r="D114" s="68">
        <f t="shared" si="28"/>
        <v>82.067596036725661</v>
      </c>
      <c r="F114" s="149">
        <f t="shared" si="29"/>
        <v>0.76850057959242624</v>
      </c>
      <c r="G114" s="93">
        <f t="shared" si="30"/>
        <v>19.519914721647627</v>
      </c>
      <c r="H114" s="93">
        <f t="shared" si="31"/>
        <v>23.394249921308841</v>
      </c>
      <c r="I114" s="93">
        <f t="shared" si="32"/>
        <v>59.42139480012446</v>
      </c>
    </row>
    <row r="115" spans="1:9">
      <c r="A115" s="196">
        <f t="shared" si="18"/>
        <v>9400</v>
      </c>
      <c r="C115" s="68">
        <f t="shared" si="27"/>
        <v>152.62807968292552</v>
      </c>
      <c r="D115" s="68">
        <f t="shared" si="28"/>
        <v>82.950043305937783</v>
      </c>
      <c r="F115" s="149">
        <f t="shared" si="29"/>
        <v>0.77676402668481803</v>
      </c>
      <c r="G115" s="93">
        <f t="shared" si="30"/>
        <v>19.729806277794378</v>
      </c>
      <c r="H115" s="93">
        <f t="shared" si="31"/>
        <v>22.899147529357187</v>
      </c>
      <c r="I115" s="93">
        <f t="shared" si="32"/>
        <v>58.163834724567252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8" customWidth="1"/>
    <col min="2" max="2" width="8.7109375" style="118" customWidth="1"/>
    <col min="3" max="3" width="16.42578125" style="118" customWidth="1"/>
    <col min="4" max="4" width="7.7109375" style="118" customWidth="1"/>
    <col min="5" max="5" width="8.140625" style="118" customWidth="1"/>
    <col min="6" max="6" width="8.42578125" style="118" customWidth="1"/>
    <col min="7" max="7" width="9.140625" style="118" customWidth="1"/>
    <col min="8" max="8" width="9.5703125" style="117" customWidth="1"/>
    <col min="9" max="9" width="8.28515625" style="118" customWidth="1"/>
    <col min="10" max="10" width="11.42578125" style="118" customWidth="1"/>
    <col min="11" max="23" width="9.140625" style="118" customWidth="1"/>
    <col min="24" max="16384" width="8.7109375" style="90"/>
  </cols>
  <sheetData>
    <row r="1" spans="1:23">
      <c r="B1" s="40" t="s">
        <v>32</v>
      </c>
      <c r="J1" s="307" t="s">
        <v>491</v>
      </c>
      <c r="K1" s="308">
        <f>'Displacement &amp; Cam Protractor'!$B$67</f>
        <v>27.310396628390443</v>
      </c>
    </row>
    <row r="2" spans="1:23">
      <c r="B2" s="40"/>
      <c r="J2" s="69" t="s">
        <v>602</v>
      </c>
      <c r="K2" s="70">
        <f>'Airflow &amp; Carburation'!$G$23</f>
        <v>25.25838455345076</v>
      </c>
    </row>
    <row r="3" spans="1:23">
      <c r="B3" s="119" t="s">
        <v>581</v>
      </c>
      <c r="H3" s="119" t="s">
        <v>469</v>
      </c>
      <c r="J3" s="69" t="s">
        <v>603</v>
      </c>
      <c r="K3" s="309">
        <f>'Displacement &amp; Cam Protractor'!$B$83</f>
        <v>23.849129272155828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>
      <c r="A4" s="12" t="s">
        <v>470</v>
      </c>
      <c r="B4" s="10">
        <v>13.5</v>
      </c>
      <c r="C4" s="115" t="s">
        <v>448</v>
      </c>
      <c r="D4" s="454">
        <f>B7/B8</f>
        <v>1.797752808988764</v>
      </c>
      <c r="E4" s="115" t="s">
        <v>471</v>
      </c>
      <c r="G4" s="119" t="s">
        <v>472</v>
      </c>
      <c r="H4" s="117">
        <f>PI()*G12^2*B4</f>
        <v>7.9431388000444931</v>
      </c>
      <c r="J4" s="310" t="s">
        <v>601</v>
      </c>
      <c r="K4" s="72">
        <f>'Airflow &amp; Carburation'!$G$26</f>
        <v>21.984569588691063</v>
      </c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>
      <c r="A5" s="12" t="s">
        <v>473</v>
      </c>
      <c r="B5" s="10">
        <v>5</v>
      </c>
      <c r="C5" s="115" t="s">
        <v>448</v>
      </c>
      <c r="D5" s="13">
        <f>SQRT(B8/B7)*B5</f>
        <v>3.7291084725440742</v>
      </c>
      <c r="E5" s="115" t="s">
        <v>592</v>
      </c>
      <c r="G5" s="119" t="s">
        <v>474</v>
      </c>
      <c r="H5" s="121">
        <f>(I51+I52)/SQRT(B7/B8)/2</f>
        <v>2.9843089383228349</v>
      </c>
      <c r="I5" s="23" t="s">
        <v>704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>
      <c r="A6" s="12" t="s">
        <v>606</v>
      </c>
      <c r="B6" s="185">
        <f>K4</f>
        <v>21.984569588691063</v>
      </c>
      <c r="C6" s="115" t="str">
        <f>CONCATENATE("mm  ",ROUND(B6/25.4,2),"""    ",ROUND(D6/25.4,2),"""")</f>
        <v>mm  0.87"    1.16"</v>
      </c>
      <c r="D6" s="57">
        <f>SQRT(B7/B8)*B6</f>
        <v>29.476977876286792</v>
      </c>
      <c r="E6" s="115" t="s">
        <v>593</v>
      </c>
      <c r="G6" s="119" t="s">
        <v>449</v>
      </c>
      <c r="H6" s="176">
        <f>SUM(H4:H5)</f>
        <v>10.927447738367327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>
      <c r="A7" s="12" t="s">
        <v>475</v>
      </c>
      <c r="B7" s="10">
        <v>320</v>
      </c>
      <c r="C7" s="115" t="s">
        <v>476</v>
      </c>
      <c r="D7" s="121">
        <f>180*ATAN((D6-B6)/50.8/B5)/PI()</f>
        <v>1.6896020863953443</v>
      </c>
      <c r="E7" s="115" t="s">
        <v>477</v>
      </c>
      <c r="H7" s="117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>
      <c r="A8" s="12" t="s">
        <v>478</v>
      </c>
      <c r="B8" s="177">
        <v>178</v>
      </c>
      <c r="C8" s="115" t="s">
        <v>476</v>
      </c>
      <c r="D8" s="117" t="s">
        <v>479</v>
      </c>
      <c r="H8" s="68">
        <f>100*H6/'Displacement &amp; Cam Protractor'!$C$8</f>
        <v>95.665410214757657</v>
      </c>
      <c r="I8" s="118" t="s">
        <v>442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>
      <c r="A9" s="115"/>
      <c r="B9" s="117">
        <f>8*B5</f>
        <v>40</v>
      </c>
      <c r="D9" s="90"/>
      <c r="H9" s="119" t="s">
        <v>483</v>
      </c>
      <c r="J9" s="118">
        <f>SQRT(B7/B8)*B6/50.8+0.1</f>
        <v>0.68025547000564557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>
      <c r="A10" s="90"/>
      <c r="B10" s="173">
        <f>(B7/B8)^(1/B9)</f>
        <v>1.0147714717289957</v>
      </c>
      <c r="D10" s="90"/>
      <c r="E10" s="173">
        <f>SQRT(B10)</f>
        <v>1.0073586609192358</v>
      </c>
      <c r="F10" s="119" t="s">
        <v>600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>
      <c r="A11" s="119" t="s">
        <v>480</v>
      </c>
      <c r="B11" s="119" t="s">
        <v>490</v>
      </c>
      <c r="C11" s="119" t="s">
        <v>476</v>
      </c>
      <c r="D11" s="92" t="s">
        <v>489</v>
      </c>
      <c r="E11" s="119" t="s">
        <v>19</v>
      </c>
      <c r="F11" s="119" t="s">
        <v>448</v>
      </c>
      <c r="G11" s="178" t="s">
        <v>481</v>
      </c>
      <c r="H11" s="178" t="s">
        <v>482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>
      <c r="A12" s="121">
        <f t="shared" ref="A12:A43" si="0">$B$13*PI()*G12^2</f>
        <v>7.3547581481893456E-2</v>
      </c>
      <c r="B12" s="121">
        <v>0</v>
      </c>
      <c r="C12" s="117">
        <f>B7</f>
        <v>320</v>
      </c>
      <c r="D12" s="90"/>
      <c r="E12" s="68">
        <f>B6</f>
        <v>21.984569588691063</v>
      </c>
      <c r="F12" s="121">
        <f t="shared" ref="F12:F43" si="1">E12/25.4</f>
        <v>0.86553423577523869</v>
      </c>
      <c r="G12" s="121">
        <f>F12/2</f>
        <v>0.43276711788761935</v>
      </c>
      <c r="H12" s="121">
        <f t="shared" ref="H12:H75" si="2">-G12</f>
        <v>-0.43276711788761935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>
      <c r="A13" s="121">
        <f t="shared" si="0"/>
        <v>7.4633987502489271E-2</v>
      </c>
      <c r="B13" s="121">
        <f t="shared" ref="B13:B76" si="3">B12+$B$5/$B$9</f>
        <v>0.125</v>
      </c>
      <c r="C13" s="68">
        <f t="shared" ref="C13:C76" si="4">C12/$B$10</f>
        <v>315.34193551457957</v>
      </c>
      <c r="D13" s="149" t="str">
        <f>CONCATENATE(ROUND(180*ATAN((G13-G12)/0.125)/PI(),2),"°")</f>
        <v>1.46°</v>
      </c>
      <c r="E13" s="68">
        <f t="shared" ref="E13:E44" si="5">$E$10*E12</f>
        <v>22.146346581749583</v>
      </c>
      <c r="F13" s="121">
        <f t="shared" si="1"/>
        <v>0.87190340873029859</v>
      </c>
      <c r="G13" s="121">
        <f t="shared" ref="G13:G76" si="6">F13/2</f>
        <v>0.4359517043651493</v>
      </c>
      <c r="H13" s="121">
        <f t="shared" si="2"/>
        <v>-0.4359517043651493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>
      <c r="A14" s="121">
        <f t="shared" si="0"/>
        <v>7.5736441338904517E-2</v>
      </c>
      <c r="B14" s="121">
        <f t="shared" si="3"/>
        <v>0.25</v>
      </c>
      <c r="C14" s="68">
        <f t="shared" si="4"/>
        <v>310.75167591900396</v>
      </c>
      <c r="D14" s="149" t="str">
        <f t="shared" ref="D14:D77" si="7">CONCATENATE(ROUND(180*ATAN((G14-G13)/0.125)/PI(),2),"°")</f>
        <v>1.47°</v>
      </c>
      <c r="E14" s="68">
        <f t="shared" si="5"/>
        <v>22.309314036844555</v>
      </c>
      <c r="F14" s="121">
        <f t="shared" si="1"/>
        <v>0.87831945026947067</v>
      </c>
      <c r="G14" s="121">
        <f t="shared" si="6"/>
        <v>0.43915972513473533</v>
      </c>
      <c r="H14" s="121">
        <f t="shared" si="2"/>
        <v>-0.43915972513473533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>
      <c r="A15" s="121">
        <f t="shared" si="0"/>
        <v>7.6855180040996895E-2</v>
      </c>
      <c r="B15" s="121">
        <f t="shared" si="3"/>
        <v>0.375</v>
      </c>
      <c r="C15" s="68">
        <f t="shared" si="4"/>
        <v>306.22823421468149</v>
      </c>
      <c r="D15" s="149" t="str">
        <f t="shared" si="7"/>
        <v>1.48°</v>
      </c>
      <c r="E15" s="68">
        <f t="shared" si="5"/>
        <v>22.47348071418244</v>
      </c>
      <c r="F15" s="121">
        <f t="shared" si="1"/>
        <v>0.88478270528277325</v>
      </c>
      <c r="G15" s="121">
        <f t="shared" si="6"/>
        <v>0.44239135264138663</v>
      </c>
      <c r="H15" s="121">
        <f t="shared" si="2"/>
        <v>-0.44239135264138663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>
      <c r="A16" s="121">
        <f t="shared" si="0"/>
        <v>7.799044416019936E-2</v>
      </c>
      <c r="B16" s="121">
        <f t="shared" si="3"/>
        <v>0.5</v>
      </c>
      <c r="C16" s="68">
        <f t="shared" si="4"/>
        <v>301.77063777021772</v>
      </c>
      <c r="D16" s="149" t="str">
        <f t="shared" si="7"/>
        <v>1.49°</v>
      </c>
      <c r="E16" s="68">
        <f t="shared" si="5"/>
        <v>22.638855438433094</v>
      </c>
      <c r="F16" s="121">
        <f t="shared" si="1"/>
        <v>0.8912935211981533</v>
      </c>
      <c r="G16" s="121">
        <f t="shared" si="6"/>
        <v>0.44564676059907665</v>
      </c>
      <c r="H16" s="121">
        <f t="shared" si="2"/>
        <v>-0.44564676059907665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1">
        <f t="shared" si="0"/>
        <v>7.9142477801243588E-2</v>
      </c>
      <c r="B17" s="121">
        <f t="shared" si="3"/>
        <v>0.625</v>
      </c>
      <c r="C17" s="68">
        <f t="shared" si="4"/>
        <v>297.37792811227985</v>
      </c>
      <c r="D17" s="149" t="str">
        <f t="shared" si="7"/>
        <v>1.5°</v>
      </c>
      <c r="E17" s="68">
        <f t="shared" si="5"/>
        <v>22.80544709920412</v>
      </c>
      <c r="F17" s="121">
        <f t="shared" si="1"/>
        <v>0.89785224800016228</v>
      </c>
      <c r="G17" s="121">
        <f t="shared" si="6"/>
        <v>0.44892612400008114</v>
      </c>
      <c r="H17" s="121">
        <f t="shared" si="2"/>
        <v>-0.44892612400008114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1">
        <f t="shared" si="0"/>
        <v>8.0311528674647345E-2</v>
      </c>
      <c r="B18" s="121">
        <f t="shared" si="3"/>
        <v>0.75</v>
      </c>
      <c r="C18" s="68">
        <f t="shared" si="4"/>
        <v>293.04916071950572</v>
      </c>
      <c r="D18" s="149" t="str">
        <f t="shared" si="7"/>
        <v>1.51°</v>
      </c>
      <c r="E18" s="68">
        <f t="shared" si="5"/>
        <v>22.973264651518733</v>
      </c>
      <c r="F18" s="121">
        <f t="shared" si="1"/>
        <v>0.90445923824876906</v>
      </c>
      <c r="G18" s="121">
        <f t="shared" si="6"/>
        <v>0.45222961912438453</v>
      </c>
      <c r="H18" s="121">
        <f t="shared" si="2"/>
        <v>-0.45222961912438453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1">
        <f t="shared" si="0"/>
        <v>8.1497848149977334E-2</v>
      </c>
      <c r="B19" s="121">
        <f t="shared" si="3"/>
        <v>0.875</v>
      </c>
      <c r="C19" s="68">
        <f t="shared" si="4"/>
        <v>288.78340481941262</v>
      </c>
      <c r="D19" s="149" t="str">
        <f t="shared" si="7"/>
        <v>1.52°</v>
      </c>
      <c r="E19" s="68">
        <f t="shared" si="5"/>
        <v>23.142317116297125</v>
      </c>
      <c r="F19" s="121">
        <f t="shared" si="1"/>
        <v>0.91111484709831203</v>
      </c>
      <c r="G19" s="121">
        <f t="shared" si="6"/>
        <v>0.45555742354915602</v>
      </c>
      <c r="H19" s="121">
        <f t="shared" si="2"/>
        <v>-0.45555742354915602</v>
      </c>
      <c r="I19" s="90"/>
      <c r="J19" s="118">
        <f>-J9</f>
        <v>-0.68025547000564557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1">
        <f t="shared" si="0"/>
        <v>8.2701691309898726E-2</v>
      </c>
      <c r="B20" s="121">
        <f t="shared" si="3"/>
        <v>1</v>
      </c>
      <c r="C20" s="68">
        <f t="shared" si="4"/>
        <v>284.57974318826234</v>
      </c>
      <c r="D20" s="149" t="str">
        <f t="shared" si="7"/>
        <v>1.54°</v>
      </c>
      <c r="E20" s="68">
        <f t="shared" si="5"/>
        <v>23.312613580841383</v>
      </c>
      <c r="F20" s="121">
        <f t="shared" si="1"/>
        <v>0.91781943231658991</v>
      </c>
      <c r="G20" s="121">
        <f t="shared" si="6"/>
        <v>0.45890971615829496</v>
      </c>
      <c r="H20" s="121">
        <f t="shared" si="2"/>
        <v>-0.45890971615829496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1">
        <f t="shared" si="0"/>
        <v>8.3923317005023035E-2</v>
      </c>
      <c r="B21" s="121">
        <f t="shared" si="3"/>
        <v>1.125</v>
      </c>
      <c r="C21" s="68">
        <f t="shared" si="4"/>
        <v>280.43727195383951</v>
      </c>
      <c r="D21" s="149" t="str">
        <f t="shared" si="7"/>
        <v>1.55°</v>
      </c>
      <c r="E21" s="68">
        <f t="shared" si="5"/>
        <v>23.484163199323966</v>
      </c>
      <c r="F21" s="121">
        <f t="shared" si="1"/>
        <v>0.92457335430409315</v>
      </c>
      <c r="G21" s="121">
        <f t="shared" si="6"/>
        <v>0.46228667715204658</v>
      </c>
      <c r="H21" s="121">
        <f t="shared" si="2"/>
        <v>-0.46228667715204658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1">
        <f t="shared" si="0"/>
        <v>8.5162987909566279E-2</v>
      </c>
      <c r="B22" s="121">
        <f t="shared" si="3"/>
        <v>1.25</v>
      </c>
      <c r="C22" s="68">
        <f t="shared" si="4"/>
        <v>276.35510040110086</v>
      </c>
      <c r="D22" s="149" t="str">
        <f t="shared" si="7"/>
        <v>1.56°</v>
      </c>
      <c r="E22" s="68">
        <f t="shared" si="5"/>
        <v>23.656975193279784</v>
      </c>
      <c r="F22" s="121">
        <f t="shared" si="1"/>
        <v>0.93137697611337733</v>
      </c>
      <c r="G22" s="121">
        <f t="shared" si="6"/>
        <v>0.46568848805668867</v>
      </c>
      <c r="H22" s="121">
        <f t="shared" si="2"/>
        <v>-0.46568848805668867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1">
        <f t="shared" si="0"/>
        <v>8.6420970577829243E-2</v>
      </c>
      <c r="B23" s="121">
        <f t="shared" si="3"/>
        <v>1.375</v>
      </c>
      <c r="C23" s="68">
        <f t="shared" si="4"/>
        <v>272.33235078065348</v>
      </c>
      <c r="D23" s="149" t="str">
        <f t="shared" si="7"/>
        <v>1.57°</v>
      </c>
      <c r="E23" s="68">
        <f t="shared" si="5"/>
        <v>23.831058852101901</v>
      </c>
      <c r="F23" s="121">
        <f t="shared" si="1"/>
        <v>0.93823066346857886</v>
      </c>
      <c r="G23" s="121">
        <f t="shared" si="6"/>
        <v>0.46911533173428943</v>
      </c>
      <c r="H23" s="121">
        <f t="shared" si="2"/>
        <v>-0.46911533173428943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1">
        <f t="shared" si="0"/>
        <v>8.7697535501512033E-2</v>
      </c>
      <c r="B24" s="121">
        <f t="shared" si="3"/>
        <v>1.5</v>
      </c>
      <c r="C24" s="68">
        <f t="shared" si="4"/>
        <v>268.36815812002095</v>
      </c>
      <c r="D24" s="149" t="str">
        <f t="shared" si="7"/>
        <v>1.58°</v>
      </c>
      <c r="E24" s="68">
        <f t="shared" si="5"/>
        <v>24.006423533540872</v>
      </c>
      <c r="F24" s="121">
        <f t="shared" si="1"/>
        <v>0.94513478478507373</v>
      </c>
      <c r="G24" s="121">
        <f t="shared" si="6"/>
        <v>0.47256739239253687</v>
      </c>
      <c r="H24" s="121">
        <f t="shared" si="2"/>
        <v>-0.47256739239253687</v>
      </c>
      <c r="I24" s="90"/>
      <c r="J24" s="90"/>
      <c r="K24" s="78" t="s">
        <v>582</v>
      </c>
      <c r="L24" s="78" t="s">
        <v>586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>
      <c r="A25" s="121">
        <f t="shared" si="0"/>
        <v>8.8992957167875211E-2</v>
      </c>
      <c r="B25" s="121">
        <f t="shared" si="3"/>
        <v>1.625</v>
      </c>
      <c r="C25" s="68">
        <f t="shared" si="4"/>
        <v>264.46167003765669</v>
      </c>
      <c r="D25" s="149" t="str">
        <f t="shared" si="7"/>
        <v>1.59°</v>
      </c>
      <c r="E25" s="68">
        <f t="shared" si="5"/>
        <v>24.183078664207759</v>
      </c>
      <c r="F25" s="121">
        <f t="shared" si="1"/>
        <v>0.95208971118928187</v>
      </c>
      <c r="G25" s="121">
        <f t="shared" si="6"/>
        <v>0.47604485559464094</v>
      </c>
      <c r="H25" s="121">
        <f t="shared" si="2"/>
        <v>-0.47604485559464094</v>
      </c>
      <c r="I25" s="90"/>
      <c r="J25" s="90"/>
      <c r="K25" s="117">
        <v>0</v>
      </c>
      <c r="L25" s="121">
        <f>F12</f>
        <v>0.86553423577523869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>
      <c r="A26" s="121">
        <f t="shared" si="0"/>
        <v>9.0307514118760229E-2</v>
      </c>
      <c r="B26" s="121">
        <f t="shared" si="3"/>
        <v>1.75</v>
      </c>
      <c r="C26" s="68">
        <f t="shared" si="4"/>
        <v>260.61204655966486</v>
      </c>
      <c r="D26" s="149" t="str">
        <f t="shared" si="7"/>
        <v>1.61°</v>
      </c>
      <c r="E26" s="68">
        <f t="shared" si="5"/>
        <v>24.36103374008087</v>
      </c>
      <c r="F26" s="121">
        <f t="shared" si="1"/>
        <v>0.95909581653861697</v>
      </c>
      <c r="G26" s="121">
        <f t="shared" si="6"/>
        <v>0.47954790826930849</v>
      </c>
      <c r="H26" s="121">
        <f t="shared" si="2"/>
        <v>-0.47954790826930849</v>
      </c>
      <c r="I26" s="90"/>
      <c r="J26" s="90"/>
      <c r="K26" s="117">
        <f>K25+0.5</f>
        <v>0.5</v>
      </c>
      <c r="L26" s="121">
        <f>F16</f>
        <v>0.8912935211981533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>
      <c r="A27" s="121">
        <f t="shared" si="0"/>
        <v>9.16414890104814E-2</v>
      </c>
      <c r="B27" s="121">
        <f t="shared" si="3"/>
        <v>1.875</v>
      </c>
      <c r="C27" s="68">
        <f t="shared" si="4"/>
        <v>256.81845993918893</v>
      </c>
      <c r="D27" s="149" t="str">
        <f t="shared" si="7"/>
        <v>1.62°</v>
      </c>
      <c r="E27" s="68">
        <f t="shared" si="5"/>
        <v>24.540298327016188</v>
      </c>
      <c r="F27" s="121">
        <f t="shared" si="1"/>
        <v>0.96615347744158231</v>
      </c>
      <c r="G27" s="121">
        <f t="shared" si="6"/>
        <v>0.48307673872079115</v>
      </c>
      <c r="H27" s="121">
        <f t="shared" si="2"/>
        <v>-0.48307673872079115</v>
      </c>
      <c r="I27" s="90"/>
      <c r="J27" s="90"/>
      <c r="K27" s="117">
        <f t="shared" ref="K27:K45" si="8">K26+0.5</f>
        <v>1</v>
      </c>
      <c r="L27" s="121">
        <f>F20</f>
        <v>0.91781943231658991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>
      <c r="A28" s="121">
        <f t="shared" si="0"/>
        <v>9.2995168674602793E-2</v>
      </c>
      <c r="B28" s="121">
        <f t="shared" si="3"/>
        <v>2</v>
      </c>
      <c r="C28" s="68">
        <f t="shared" si="4"/>
        <v>253.08009447842923</v>
      </c>
      <c r="D28" s="149" t="str">
        <f t="shared" si="7"/>
        <v>1.63°</v>
      </c>
      <c r="E28" s="68">
        <f t="shared" si="5"/>
        <v>24.720882061261587</v>
      </c>
      <c r="F28" s="121">
        <f t="shared" si="1"/>
        <v>0.97326307327801531</v>
      </c>
      <c r="G28" s="121">
        <f t="shared" si="6"/>
        <v>0.48663153663900766</v>
      </c>
      <c r="H28" s="121">
        <f t="shared" si="2"/>
        <v>-0.48663153663900766</v>
      </c>
      <c r="I28" s="90"/>
      <c r="J28" s="90"/>
      <c r="K28" s="117">
        <f t="shared" si="8"/>
        <v>1.5</v>
      </c>
      <c r="L28" s="121">
        <f>F24</f>
        <v>0.94513478478507373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1">
        <f t="shared" si="0"/>
        <v>9.4368844179612874E-2</v>
      </c>
      <c r="B29" s="121">
        <f t="shared" si="3"/>
        <v>2.125</v>
      </c>
      <c r="C29" s="68">
        <f t="shared" si="4"/>
        <v>249.39614635325168</v>
      </c>
      <c r="D29" s="149" t="str">
        <f t="shared" si="7"/>
        <v>1.64°</v>
      </c>
      <c r="E29" s="68">
        <f t="shared" si="5"/>
        <v>24.90279464997483</v>
      </c>
      <c r="F29" s="121">
        <f t="shared" si="1"/>
        <v>0.98042498621948149</v>
      </c>
      <c r="G29" s="121">
        <f t="shared" si="6"/>
        <v>0.49021249310974074</v>
      </c>
      <c r="H29" s="121">
        <f t="shared" si="2"/>
        <v>-0.49021249310974074</v>
      </c>
      <c r="I29" s="90"/>
      <c r="J29" s="90"/>
      <c r="K29" s="117">
        <f t="shared" si="8"/>
        <v>2</v>
      </c>
      <c r="L29" s="121">
        <f>F28</f>
        <v>0.97326307327801531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>
      <c r="A30" s="121">
        <f t="shared" si="0"/>
        <v>9.5762810893510047E-2</v>
      </c>
      <c r="B30" s="121">
        <f t="shared" si="3"/>
        <v>2.25</v>
      </c>
      <c r="C30" s="68">
        <f t="shared" si="4"/>
        <v>245.76582344034921</v>
      </c>
      <c r="D30" s="149" t="str">
        <f t="shared" si="7"/>
        <v>1.65°</v>
      </c>
      <c r="E30" s="68">
        <f t="shared" si="5"/>
        <v>25.086045871745352</v>
      </c>
      <c r="F30" s="121">
        <f t="shared" si="1"/>
        <v>0.98763960124981709</v>
      </c>
      <c r="G30" s="121">
        <f t="shared" si="6"/>
        <v>0.49381980062490854</v>
      </c>
      <c r="H30" s="121">
        <f t="shared" si="2"/>
        <v>-0.49381980062490854</v>
      </c>
      <c r="I30" s="90"/>
      <c r="J30" s="90"/>
      <c r="K30" s="117">
        <f t="shared" si="8"/>
        <v>2.5</v>
      </c>
      <c r="L30" s="121">
        <f>F32</f>
        <v>1.0022284916981155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1">
        <f t="shared" si="0"/>
        <v>9.7177368547312723E-2</v>
      </c>
      <c r="B31" s="121">
        <f t="shared" si="3"/>
        <v>2.375</v>
      </c>
      <c r="C31" s="68">
        <f t="shared" si="4"/>
        <v>242.18834514691923</v>
      </c>
      <c r="D31" s="149" t="str">
        <f t="shared" si="7"/>
        <v>1.67°</v>
      </c>
      <c r="E31" s="68">
        <f t="shared" si="5"/>
        <v>25.270645577119922</v>
      </c>
      <c r="F31" s="121">
        <f t="shared" si="1"/>
        <v>0.99490730618582379</v>
      </c>
      <c r="G31" s="121">
        <f t="shared" si="6"/>
        <v>0.4974536530929119</v>
      </c>
      <c r="H31" s="121">
        <f t="shared" si="2"/>
        <v>-0.4974536530929119</v>
      </c>
      <c r="I31" s="90"/>
      <c r="J31" s="90"/>
      <c r="K31" s="117">
        <f t="shared" si="8"/>
        <v>3</v>
      </c>
      <c r="L31" s="121">
        <f>F36</f>
        <v>1.0320559539861964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1">
        <f t="shared" si="0"/>
        <v>9.8612821299507533E-2</v>
      </c>
      <c r="B32" s="121">
        <f t="shared" si="3"/>
        <v>2.5</v>
      </c>
      <c r="C32" s="68">
        <f t="shared" si="4"/>
        <v>238.66294224282046</v>
      </c>
      <c r="D32" s="149" t="str">
        <f t="shared" si="7"/>
        <v>1.68°</v>
      </c>
      <c r="E32" s="68">
        <f t="shared" si="5"/>
        <v>25.45660368913213</v>
      </c>
      <c r="F32" s="121">
        <f t="shared" si="1"/>
        <v>1.0022284916981155</v>
      </c>
      <c r="G32" s="121">
        <f t="shared" si="6"/>
        <v>0.50111424584905773</v>
      </c>
      <c r="H32" s="121">
        <f t="shared" si="2"/>
        <v>-0.50111424584905773</v>
      </c>
      <c r="I32" s="90"/>
      <c r="J32" s="90"/>
      <c r="K32" s="117">
        <f t="shared" si="8"/>
        <v>3.5</v>
      </c>
      <c r="L32" s="121">
        <f>F40</f>
        <v>1.0627711155503572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>
      <c r="A33" s="121">
        <f t="shared" si="0"/>
        <v>0.1000694778014497</v>
      </c>
      <c r="B33" s="121">
        <f t="shared" si="3"/>
        <v>2.625</v>
      </c>
      <c r="C33" s="68">
        <f t="shared" si="4"/>
        <v>235.18885669517289</v>
      </c>
      <c r="D33" s="149" t="str">
        <f t="shared" si="7"/>
        <v>1.69°</v>
      </c>
      <c r="E33" s="68">
        <f t="shared" si="5"/>
        <v>25.643930203835819</v>
      </c>
      <c r="F33" s="121">
        <f t="shared" si="1"/>
        <v>1.0096035513321189</v>
      </c>
      <c r="G33" s="121">
        <f t="shared" si="6"/>
        <v>0.50480177566605944</v>
      </c>
      <c r="H33" s="121">
        <f t="shared" si="2"/>
        <v>-0.50480177566605944</v>
      </c>
      <c r="I33" s="90"/>
      <c r="J33" s="90"/>
      <c r="K33" s="117">
        <f t="shared" si="8"/>
        <v>4</v>
      </c>
      <c r="L33" s="121">
        <f>F44</f>
        <v>1.0944003953328845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1">
        <f t="shared" si="0"/>
        <v>0.10154765126372921</v>
      </c>
      <c r="B34" s="121">
        <f t="shared" si="3"/>
        <v>2.75</v>
      </c>
      <c r="C34" s="68">
        <f t="shared" si="4"/>
        <v>231.76534150536534</v>
      </c>
      <c r="D34" s="149" t="str">
        <f t="shared" si="7"/>
        <v>1.7°</v>
      </c>
      <c r="E34" s="68">
        <f t="shared" si="5"/>
        <v>25.832635190842396</v>
      </c>
      <c r="F34" s="121">
        <f t="shared" si="1"/>
        <v>1.0170328815292282</v>
      </c>
      <c r="G34" s="121">
        <f t="shared" si="6"/>
        <v>0.50851644076461411</v>
      </c>
      <c r="H34" s="121">
        <f t="shared" si="2"/>
        <v>-0.50851644076461411</v>
      </c>
      <c r="I34" s="90"/>
      <c r="J34" s="90"/>
      <c r="K34" s="117">
        <f t="shared" si="8"/>
        <v>4.5</v>
      </c>
      <c r="L34" s="121">
        <f>F48</f>
        <v>1.1269709985339007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1">
        <f t="shared" si="0"/>
        <v>0.10304765952351733</v>
      </c>
      <c r="B35" s="121">
        <f t="shared" si="3"/>
        <v>2.875</v>
      </c>
      <c r="C35" s="68">
        <f t="shared" si="4"/>
        <v>228.39166054843574</v>
      </c>
      <c r="D35" s="149" t="str">
        <f t="shared" si="7"/>
        <v>1.71°</v>
      </c>
      <c r="E35" s="68">
        <f t="shared" si="5"/>
        <v>26.022728793862122</v>
      </c>
      <c r="F35" s="121">
        <f t="shared" si="1"/>
        <v>1.0245168816481152</v>
      </c>
      <c r="G35" s="121">
        <f t="shared" si="6"/>
        <v>0.51225844082405758</v>
      </c>
      <c r="H35" s="121">
        <f t="shared" si="2"/>
        <v>-0.51225844082405758</v>
      </c>
      <c r="I35" s="90"/>
      <c r="J35" s="90"/>
      <c r="K35" s="117">
        <f t="shared" si="8"/>
        <v>5</v>
      </c>
      <c r="L35" s="121">
        <f>F52</f>
        <v>1.1605109400112938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1">
        <f t="shared" si="0"/>
        <v>0.10456982511290813</v>
      </c>
      <c r="B36" s="121">
        <f t="shared" si="3"/>
        <v>3</v>
      </c>
      <c r="C36" s="68">
        <f t="shared" si="4"/>
        <v>225.06708841478928</v>
      </c>
      <c r="D36" s="149" t="str">
        <f t="shared" si="7"/>
        <v>1.73°</v>
      </c>
      <c r="E36" s="68">
        <f t="shared" si="5"/>
        <v>26.214221231249386</v>
      </c>
      <c r="F36" s="121">
        <f t="shared" si="1"/>
        <v>1.0320559539861964</v>
      </c>
      <c r="G36" s="121">
        <f t="shared" si="6"/>
        <v>0.51602797699309821</v>
      </c>
      <c r="H36" s="121">
        <f t="shared" si="2"/>
        <v>-0.51602797699309821</v>
      </c>
      <c r="I36" s="90"/>
      <c r="J36" s="90"/>
      <c r="K36" s="117">
        <f t="shared" si="8"/>
        <v>5.5</v>
      </c>
      <c r="L36" s="121">
        <f>F56</f>
        <v>1.1950490683770547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1">
        <f t="shared" si="0"/>
        <v>0.10611447532826947</v>
      </c>
      <c r="B37" s="121">
        <f t="shared" si="3"/>
        <v>3.125</v>
      </c>
      <c r="C37" s="68">
        <f t="shared" si="4"/>
        <v>221.79091025422082</v>
      </c>
      <c r="D37" s="149" t="str">
        <f t="shared" si="7"/>
        <v>1.74°</v>
      </c>
      <c r="E37" s="68">
        <f t="shared" si="5"/>
        <v>26.407122796551981</v>
      </c>
      <c r="F37" s="121">
        <f t="shared" si="1"/>
        <v>1.0396505038012591</v>
      </c>
      <c r="G37" s="121">
        <f t="shared" si="6"/>
        <v>0.51982525190062956</v>
      </c>
      <c r="H37" s="121">
        <f t="shared" si="2"/>
        <v>-0.51982525190062956</v>
      </c>
      <c r="I37" s="90"/>
      <c r="J37" s="90"/>
      <c r="K37" s="117">
        <f t="shared" si="8"/>
        <v>6</v>
      </c>
      <c r="L37" s="121">
        <f>F60</f>
        <v>1.2306150908107492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1">
        <f t="shared" si="0"/>
        <v>0.10768194230061824</v>
      </c>
      <c r="B38" s="121">
        <f t="shared" si="3"/>
        <v>3.25</v>
      </c>
      <c r="C38" s="68">
        <f t="shared" si="4"/>
        <v>218.56242162220752</v>
      </c>
      <c r="D38" s="149" t="str">
        <f t="shared" si="7"/>
        <v>1.75°</v>
      </c>
      <c r="E38" s="68">
        <f t="shared" si="5"/>
        <v>26.601443859064428</v>
      </c>
      <c r="F38" s="121">
        <f t="shared" si="1"/>
        <v>1.0473009393332453</v>
      </c>
      <c r="G38" s="121">
        <f t="shared" si="6"/>
        <v>0.52365046966662265</v>
      </c>
      <c r="H38" s="121">
        <f t="shared" si="2"/>
        <v>-0.52365046966662265</v>
      </c>
      <c r="I38" s="90"/>
      <c r="J38" s="90"/>
      <c r="K38" s="117">
        <f t="shared" si="8"/>
        <v>6.5</v>
      </c>
      <c r="L38" s="121">
        <f>F64</f>
        <v>1.2672395986114686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1">
        <f t="shared" si="0"/>
        <v>0.1092725630670352</v>
      </c>
      <c r="B39" s="121">
        <f t="shared" si="3"/>
        <v>3.375</v>
      </c>
      <c r="C39" s="68">
        <f t="shared" si="4"/>
        <v>215.38092832843913</v>
      </c>
      <c r="D39" s="149" t="str">
        <f t="shared" si="7"/>
        <v>1.77°</v>
      </c>
      <c r="E39" s="68">
        <f t="shared" si="5"/>
        <v>26.797194864385371</v>
      </c>
      <c r="F39" s="121">
        <f t="shared" si="1"/>
        <v>1.0550076718261958</v>
      </c>
      <c r="G39" s="121">
        <f t="shared" si="6"/>
        <v>0.52750383591309791</v>
      </c>
      <c r="H39" s="121">
        <f t="shared" si="2"/>
        <v>-0.52750383591309791</v>
      </c>
      <c r="I39" s="90"/>
      <c r="J39" s="90"/>
      <c r="K39" s="117">
        <f t="shared" si="8"/>
        <v>7</v>
      </c>
      <c r="L39" s="121">
        <f>F68</f>
        <v>1.3049540935102346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1">
        <f t="shared" si="0"/>
        <v>0.11088667964313483</v>
      </c>
      <c r="B40" s="121">
        <f t="shared" si="3"/>
        <v>3.5</v>
      </c>
      <c r="C40" s="68">
        <f t="shared" si="4"/>
        <v>212.24574628755295</v>
      </c>
      <c r="D40" s="149" t="str">
        <f t="shared" si="7"/>
        <v>1.78°</v>
      </c>
      <c r="E40" s="68">
        <f t="shared" si="5"/>
        <v>26.994386334979069</v>
      </c>
      <c r="F40" s="121">
        <f t="shared" si="1"/>
        <v>1.0627711155503572</v>
      </c>
      <c r="G40" s="121">
        <f t="shared" si="6"/>
        <v>0.5313855577751786</v>
      </c>
      <c r="H40" s="121">
        <f t="shared" si="2"/>
        <v>-0.5313855577751786</v>
      </c>
      <c r="I40" s="90"/>
      <c r="J40" s="90"/>
      <c r="K40" s="117">
        <f t="shared" si="8"/>
        <v>7.5</v>
      </c>
      <c r="L40" s="121">
        <f>F72</f>
        <v>1.3437910147654901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1">
        <f t="shared" si="0"/>
        <v>0.11252463909660559</v>
      </c>
      <c r="B41" s="121">
        <f t="shared" si="3"/>
        <v>3.625</v>
      </c>
      <c r="C41" s="68">
        <f t="shared" si="4"/>
        <v>209.15620137204169</v>
      </c>
      <c r="D41" s="149" t="str">
        <f t="shared" si="7"/>
        <v>1.79°</v>
      </c>
      <c r="E41" s="68">
        <f t="shared" si="5"/>
        <v>27.193028870741031</v>
      </c>
      <c r="F41" s="121">
        <f t="shared" si="1"/>
        <v>1.0705916878244501</v>
      </c>
      <c r="G41" s="121">
        <f t="shared" si="6"/>
        <v>0.53529584391222507</v>
      </c>
      <c r="H41" s="121">
        <f t="shared" si="2"/>
        <v>-0.53529584391222507</v>
      </c>
      <c r="I41" s="90"/>
      <c r="J41" s="90"/>
      <c r="K41" s="117">
        <f t="shared" si="8"/>
        <v>8</v>
      </c>
      <c r="L41" s="121">
        <f>F76</f>
        <v>1.383783767064986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>
      <c r="A42" s="121">
        <f t="shared" si="0"/>
        <v>0.11418679362183655</v>
      </c>
      <c r="B42" s="121">
        <f t="shared" si="3"/>
        <v>3.75</v>
      </c>
      <c r="C42" s="68">
        <f t="shared" si="4"/>
        <v>206.11162926730248</v>
      </c>
      <c r="D42" s="149" t="str">
        <f t="shared" si="7"/>
        <v>1.8°</v>
      </c>
      <c r="E42" s="68">
        <f t="shared" si="5"/>
        <v>27.393133149567802</v>
      </c>
      <c r="F42" s="121">
        <f t="shared" si="1"/>
        <v>1.0784698090381024</v>
      </c>
      <c r="G42" s="121">
        <f t="shared" si="6"/>
        <v>0.53923490451905121</v>
      </c>
      <c r="H42" s="121">
        <f t="shared" si="2"/>
        <v>-0.53923490451905121</v>
      </c>
      <c r="I42" s="90"/>
      <c r="J42" s="90"/>
      <c r="K42" s="117">
        <f t="shared" si="8"/>
        <v>8.5</v>
      </c>
      <c r="L42" s="121">
        <f>F80</f>
        <v>1.4249667492580547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3">
      <c r="A43" s="121">
        <f t="shared" si="0"/>
        <v>0.11587350061564619</v>
      </c>
      <c r="B43" s="121">
        <f t="shared" si="3"/>
        <v>3.875</v>
      </c>
      <c r="C43" s="68">
        <f t="shared" si="4"/>
        <v>203.11137532879573</v>
      </c>
      <c r="D43" s="149" t="str">
        <f t="shared" si="7"/>
        <v>1.82°</v>
      </c>
      <c r="E43" s="68">
        <f t="shared" si="5"/>
        <v>27.59470992793095</v>
      </c>
      <c r="F43" s="121">
        <f t="shared" si="1"/>
        <v>1.0864059026744468</v>
      </c>
      <c r="G43" s="121">
        <f t="shared" si="6"/>
        <v>0.54320295133722341</v>
      </c>
      <c r="H43" s="121">
        <f t="shared" si="2"/>
        <v>-0.54320295133722341</v>
      </c>
      <c r="I43" s="90"/>
      <c r="J43" s="90"/>
      <c r="K43" s="117">
        <f t="shared" si="8"/>
        <v>9</v>
      </c>
      <c r="L43" s="121">
        <f>F84</f>
        <v>1.4673753839429944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1">
        <f t="shared" ref="A44:A75" si="9">$B$13*PI()*G44^2</f>
        <v>0.11758512275413002</v>
      </c>
      <c r="B44" s="121">
        <f t="shared" si="3"/>
        <v>4</v>
      </c>
      <c r="C44" s="68">
        <f t="shared" si="4"/>
        <v>200.15479444128337</v>
      </c>
      <c r="D44" s="149" t="str">
        <f t="shared" si="7"/>
        <v>1.83°</v>
      </c>
      <c r="E44" s="68">
        <f t="shared" si="5"/>
        <v>27.797770041455262</v>
      </c>
      <c r="F44" s="121">
        <f t="shared" ref="F44:F75" si="10">E44/25.4</f>
        <v>1.0944003953328845</v>
      </c>
      <c r="G44" s="121">
        <f t="shared" si="6"/>
        <v>0.54720019766644223</v>
      </c>
      <c r="H44" s="121">
        <f t="shared" si="2"/>
        <v>-0.54720019766644223</v>
      </c>
      <c r="I44" s="90"/>
      <c r="J44" s="90"/>
      <c r="K44" s="117">
        <f t="shared" si="8"/>
        <v>9.5</v>
      </c>
      <c r="L44" s="121">
        <f>F88</f>
        <v>1.5110461479350055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1">
        <f t="shared" si="9"/>
        <v>0.11932202807064311</v>
      </c>
      <c r="B45" s="121">
        <f t="shared" si="3"/>
        <v>4.125</v>
      </c>
      <c r="C45" s="68">
        <f t="shared" si="4"/>
        <v>197.24125088011598</v>
      </c>
      <c r="D45" s="149" t="str">
        <f t="shared" si="7"/>
        <v>1.85°</v>
      </c>
      <c r="E45" s="68">
        <f t="shared" ref="E45:E76" si="11">$E$10*E44</f>
        <v>28.00232440550122</v>
      </c>
      <c r="F45" s="121">
        <f t="shared" si="10"/>
        <v>1.1024537167520165</v>
      </c>
      <c r="G45" s="121">
        <f t="shared" si="6"/>
        <v>0.55122685837600827</v>
      </c>
      <c r="H45" s="121">
        <f t="shared" si="2"/>
        <v>-0.55122685837600827</v>
      </c>
      <c r="I45" s="90"/>
      <c r="J45" s="90"/>
      <c r="K45" s="117">
        <f t="shared" si="8"/>
        <v>10</v>
      </c>
      <c r="L45" s="121">
        <f>F92</f>
        <v>1.5560166036408858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1">
        <f t="shared" si="9"/>
        <v>0.12108459003493507</v>
      </c>
      <c r="B46" s="121">
        <f t="shared" si="3"/>
        <v>4.25</v>
      </c>
      <c r="C46" s="68">
        <f t="shared" si="4"/>
        <v>194.37011817453921</v>
      </c>
      <c r="D46" s="149" t="str">
        <f t="shared" si="7"/>
        <v>1.86°</v>
      </c>
      <c r="E46" s="68">
        <f t="shared" si="11"/>
        <v>28.208384015751744</v>
      </c>
      <c r="F46" s="121">
        <f t="shared" si="10"/>
        <v>1.1105662998327459</v>
      </c>
      <c r="G46" s="121">
        <f t="shared" si="6"/>
        <v>0.55528314991637295</v>
      </c>
      <c r="H46" s="121">
        <f t="shared" si="2"/>
        <v>-0.55528314991637295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1">
        <f t="shared" si="9"/>
        <v>0.1228731876334532</v>
      </c>
      <c r="B47" s="121">
        <f t="shared" si="3"/>
        <v>4.375</v>
      </c>
      <c r="C47" s="68">
        <f t="shared" si="4"/>
        <v>191.54077897298987</v>
      </c>
      <c r="D47" s="149" t="str">
        <f t="shared" si="7"/>
        <v>1.87°</v>
      </c>
      <c r="E47" s="68">
        <f t="shared" si="11"/>
        <v>28.415959948803252</v>
      </c>
      <c r="F47" s="121">
        <f t="shared" si="10"/>
        <v>1.1187385806615455</v>
      </c>
      <c r="G47" s="121">
        <f t="shared" si="6"/>
        <v>0.55936929033077276</v>
      </c>
      <c r="H47" s="121">
        <f t="shared" si="2"/>
        <v>-0.55936929033077276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1">
        <f t="shared" si="9"/>
        <v>0.1246882054508323</v>
      </c>
      <c r="B48" s="121">
        <f t="shared" si="3"/>
        <v>4.5</v>
      </c>
      <c r="C48" s="68">
        <f t="shared" si="4"/>
        <v>188.75262491035286</v>
      </c>
      <c r="D48" s="149" t="str">
        <f t="shared" si="7"/>
        <v>1.89°</v>
      </c>
      <c r="E48" s="68">
        <f t="shared" si="11"/>
        <v>28.625063362761079</v>
      </c>
      <c r="F48" s="121">
        <f t="shared" si="10"/>
        <v>1.1269709985339007</v>
      </c>
      <c r="G48" s="121">
        <f t="shared" si="6"/>
        <v>0.56348549926695035</v>
      </c>
      <c r="H48" s="121">
        <f t="shared" si="2"/>
        <v>-0.56348549926695035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</row>
    <row r="49" spans="1:23">
      <c r="A49" s="121">
        <f t="shared" si="9"/>
        <v>0.12653003375258851</v>
      </c>
      <c r="B49" s="121">
        <f t="shared" si="3"/>
        <v>4.625</v>
      </c>
      <c r="C49" s="68">
        <f t="shared" si="4"/>
        <v>186.00505647715039</v>
      </c>
      <c r="D49" s="149" t="str">
        <f t="shared" si="7"/>
        <v>1.9°</v>
      </c>
      <c r="E49" s="68">
        <f t="shared" si="11"/>
        <v>28.835705497839275</v>
      </c>
      <c r="F49" s="121">
        <f t="shared" si="10"/>
        <v>1.1352639959779243</v>
      </c>
      <c r="G49" s="121">
        <f t="shared" si="6"/>
        <v>0.56763199798896213</v>
      </c>
      <c r="H49" s="121">
        <f t="shared" si="2"/>
        <v>-0.56763199798896213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1">
        <f t="shared" si="9"/>
        <v>0.12839906856903374</v>
      </c>
      <c r="B50" s="121">
        <f t="shared" si="3"/>
        <v>4.75</v>
      </c>
      <c r="C50" s="68">
        <f t="shared" si="4"/>
        <v>183.29748289063528</v>
      </c>
      <c r="D50" s="149" t="str">
        <f t="shared" si="7"/>
        <v>1.91°</v>
      </c>
      <c r="E50" s="68">
        <f t="shared" si="11"/>
        <v>29.047897676964816</v>
      </c>
      <c r="F50" s="121">
        <f t="shared" si="10"/>
        <v>1.1436180187781424</v>
      </c>
      <c r="G50" s="121">
        <f t="shared" si="6"/>
        <v>0.5718090093890712</v>
      </c>
      <c r="H50" s="121">
        <f t="shared" si="2"/>
        <v>-0.5718090093890712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1">
        <f t="shared" si="9"/>
        <v>0.13029571178043065</v>
      </c>
      <c r="B51" s="121">
        <f t="shared" si="3"/>
        <v>4.875</v>
      </c>
      <c r="C51" s="68">
        <f t="shared" si="4"/>
        <v>180.62932196776083</v>
      </c>
      <c r="D51" s="149" t="str">
        <f t="shared" si="7"/>
        <v>1.93°</v>
      </c>
      <c r="E51" s="68">
        <f t="shared" si="11"/>
        <v>29.261651306386256</v>
      </c>
      <c r="F51" s="121">
        <f t="shared" si="10"/>
        <v>1.152033515999459</v>
      </c>
      <c r="G51" s="121">
        <f t="shared" si="6"/>
        <v>0.57601675799972951</v>
      </c>
      <c r="H51" s="121">
        <f t="shared" si="2"/>
        <v>-0.57601675799972951</v>
      </c>
      <c r="I51" s="174">
        <f>SUM(A12:A51)</f>
        <v>3.972034120766641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1">
        <f t="shared" si="9"/>
        <v>0.1322203712034046</v>
      </c>
      <c r="B52" s="121">
        <f t="shared" si="3"/>
        <v>5</v>
      </c>
      <c r="C52" s="68">
        <f t="shared" si="4"/>
        <v>177.9999999999996</v>
      </c>
      <c r="D52" s="149" t="str">
        <f t="shared" si="7"/>
        <v>1.94°</v>
      </c>
      <c r="E52" s="68">
        <f t="shared" si="11"/>
        <v>29.476977876286863</v>
      </c>
      <c r="F52" s="121">
        <f t="shared" si="10"/>
        <v>1.1605109400112938</v>
      </c>
      <c r="G52" s="121">
        <f t="shared" si="6"/>
        <v>0.58025547000564692</v>
      </c>
      <c r="H52" s="121">
        <f t="shared" si="2"/>
        <v>-0.58025547000564692</v>
      </c>
      <c r="I52" s="175">
        <f>SUM(A13:A52)</f>
        <v>4.0307069104881519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1">
        <f t="shared" si="9"/>
        <v>0.13417346067863306</v>
      </c>
      <c r="B53" s="121">
        <f t="shared" si="3"/>
        <v>5.125</v>
      </c>
      <c r="C53" s="68">
        <f t="shared" si="4"/>
        <v>175.4089516299845</v>
      </c>
      <c r="D53" s="149" t="str">
        <f t="shared" si="7"/>
        <v>1.96°</v>
      </c>
      <c r="E53" s="68">
        <f t="shared" si="11"/>
        <v>29.693888961402273</v>
      </c>
      <c r="F53" s="121">
        <f t="shared" si="10"/>
        <v>1.1690507465119007</v>
      </c>
      <c r="G53" s="121">
        <f t="shared" si="6"/>
        <v>0.58452537325595033</v>
      </c>
      <c r="H53" s="121">
        <f t="shared" si="2"/>
        <v>-0.58452537325595033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1">
        <f t="shared" si="9"/>
        <v>0.13615540015982902</v>
      </c>
      <c r="B54" s="121">
        <f t="shared" si="3"/>
        <v>5.25</v>
      </c>
      <c r="C54" s="68">
        <f t="shared" si="4"/>
        <v>172.85561972994557</v>
      </c>
      <c r="D54" s="149" t="str">
        <f t="shared" si="7"/>
        <v>1.97°</v>
      </c>
      <c r="E54" s="68">
        <f t="shared" si="11"/>
        <v>29.91239622164267</v>
      </c>
      <c r="F54" s="121">
        <f t="shared" si="10"/>
        <v>1.1776533945528611</v>
      </c>
      <c r="G54" s="121">
        <f t="shared" si="6"/>
        <v>0.58882669727643056</v>
      </c>
      <c r="H54" s="121">
        <f t="shared" si="2"/>
        <v>-0.58882669727643056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1">
        <f t="shared" si="9"/>
        <v>0.13816661580404005</v>
      </c>
      <c r="B55" s="121">
        <f t="shared" si="3"/>
        <v>5.375</v>
      </c>
      <c r="C55" s="68">
        <f t="shared" si="4"/>
        <v>170.3394552819162</v>
      </c>
      <c r="D55" s="149" t="str">
        <f t="shared" si="7"/>
        <v>1.99°</v>
      </c>
      <c r="E55" s="68">
        <f t="shared" si="11"/>
        <v>30.132511402719569</v>
      </c>
      <c r="F55" s="121">
        <f t="shared" si="10"/>
        <v>1.1863193465637627</v>
      </c>
      <c r="G55" s="121">
        <f t="shared" si="6"/>
        <v>0.59315967328188135</v>
      </c>
      <c r="H55" s="121">
        <f t="shared" si="2"/>
        <v>-0.59315967328188135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1">
        <f t="shared" si="9"/>
        <v>0.14020754006328046</v>
      </c>
      <c r="B56" s="121">
        <f t="shared" si="3"/>
        <v>5.5</v>
      </c>
      <c r="C56" s="68">
        <f t="shared" si="4"/>
        <v>167.85991725968321</v>
      </c>
      <c r="D56" s="149" t="str">
        <f t="shared" si="7"/>
        <v>2°</v>
      </c>
      <c r="E56" s="68">
        <f t="shared" si="11"/>
        <v>30.354246336777187</v>
      </c>
      <c r="F56" s="121">
        <f t="shared" si="10"/>
        <v>1.1950490683770547</v>
      </c>
      <c r="G56" s="121">
        <f t="shared" si="6"/>
        <v>0.59752453418852736</v>
      </c>
      <c r="H56" s="121">
        <f t="shared" si="2"/>
        <v>-0.59752453418852736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1">
        <f t="shared" si="9"/>
        <v>0.14227861177751724</v>
      </c>
      <c r="B57" s="121">
        <f t="shared" si="3"/>
        <v>5.625</v>
      </c>
      <c r="C57" s="68">
        <f t="shared" si="4"/>
        <v>165.41647251245527</v>
      </c>
      <c r="D57" s="149" t="str">
        <f t="shared" si="7"/>
        <v>2.01°</v>
      </c>
      <c r="E57" s="68">
        <f t="shared" si="11"/>
        <v>30.577612943028484</v>
      </c>
      <c r="F57" s="121">
        <f t="shared" si="10"/>
        <v>1.2038430292530899</v>
      </c>
      <c r="G57" s="121">
        <f t="shared" si="6"/>
        <v>0.60192151462654497</v>
      </c>
      <c r="H57" s="121">
        <f t="shared" si="2"/>
        <v>-0.60192151462654497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1">
        <f t="shared" si="9"/>
        <v>0.14438027626902963</v>
      </c>
      <c r="B58" s="121">
        <f t="shared" si="3"/>
        <v>5.75</v>
      </c>
      <c r="C58" s="68">
        <f t="shared" si="4"/>
        <v>163.00859565022469</v>
      </c>
      <c r="D58" s="149" t="str">
        <f t="shared" si="7"/>
        <v>2.03°</v>
      </c>
      <c r="E58" s="68">
        <f t="shared" si="11"/>
        <v>30.802623228395866</v>
      </c>
      <c r="F58" s="121">
        <f t="shared" si="10"/>
        <v>1.2127017019053492</v>
      </c>
      <c r="G58" s="121">
        <f t="shared" si="6"/>
        <v>0.6063508509526746</v>
      </c>
      <c r="H58" s="121">
        <f t="shared" si="2"/>
        <v>-0.6063508509526746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1">
        <f t="shared" si="9"/>
        <v>0.14651298543816221</v>
      </c>
      <c r="B59" s="121">
        <f t="shared" si="3"/>
        <v>5.875</v>
      </c>
      <c r="C59" s="68">
        <f t="shared" si="4"/>
        <v>160.63576893079792</v>
      </c>
      <c r="D59" s="149" t="str">
        <f t="shared" si="7"/>
        <v>2.04°</v>
      </c>
      <c r="E59" s="68">
        <f t="shared" si="11"/>
        <v>31.029289288156608</v>
      </c>
      <c r="F59" s="121">
        <f t="shared" si="10"/>
        <v>1.2216255625258508</v>
      </c>
      <c r="G59" s="121">
        <f t="shared" si="6"/>
        <v>0.61081278126292538</v>
      </c>
      <c r="H59" s="121">
        <f t="shared" si="2"/>
        <v>-0.61081278126292538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1">
        <f t="shared" si="9"/>
        <v>0.1486771978604928</v>
      </c>
      <c r="B60" s="121">
        <f t="shared" si="3"/>
        <v>6</v>
      </c>
      <c r="C60" s="68">
        <f t="shared" si="4"/>
        <v>158.29748214847058</v>
      </c>
      <c r="D60" s="149" t="str">
        <f t="shared" si="7"/>
        <v>2.06°</v>
      </c>
      <c r="E60" s="68">
        <f t="shared" si="11"/>
        <v>31.257623306593025</v>
      </c>
      <c r="F60" s="121">
        <f t="shared" si="10"/>
        <v>1.2306150908107492</v>
      </c>
      <c r="G60" s="121">
        <f t="shared" si="6"/>
        <v>0.61530754540537458</v>
      </c>
      <c r="H60" s="121">
        <f t="shared" si="2"/>
        <v>-0.61530754540537458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1">
        <f t="shared" si="9"/>
        <v>0.15087337888543539</v>
      </c>
      <c r="B61" s="121">
        <f t="shared" si="3"/>
        <v>6.125</v>
      </c>
      <c r="C61" s="68">
        <f t="shared" si="4"/>
        <v>155.99323252432288</v>
      </c>
      <c r="D61" s="149" t="str">
        <f t="shared" si="7"/>
        <v>2.07°</v>
      </c>
      <c r="E61" s="68">
        <f t="shared" si="11"/>
        <v>31.487637557647446</v>
      </c>
      <c r="F61" s="121">
        <f t="shared" si="10"/>
        <v>1.23967076998612</v>
      </c>
      <c r="G61" s="121">
        <f t="shared" si="6"/>
        <v>0.61983538499306001</v>
      </c>
      <c r="H61" s="121">
        <f t="shared" si="2"/>
        <v>-0.61983538499306001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1">
        <f t="shared" si="9"/>
        <v>0.15310200073629968</v>
      </c>
      <c r="B62" s="121">
        <f t="shared" si="3"/>
        <v>6.25</v>
      </c>
      <c r="C62" s="68">
        <f t="shared" si="4"/>
        <v>153.72252459811202</v>
      </c>
      <c r="D62" s="149" t="str">
        <f t="shared" si="7"/>
        <v>2.09°</v>
      </c>
      <c r="E62" s="68">
        <f t="shared" si="11"/>
        <v>31.719344405581968</v>
      </c>
      <c r="F62" s="121">
        <f t="shared" si="10"/>
        <v>1.2487930868339359</v>
      </c>
      <c r="G62" s="121">
        <f t="shared" si="6"/>
        <v>0.62439654341696793</v>
      </c>
      <c r="H62" s="121">
        <f t="shared" si="2"/>
        <v>-0.62439654341696793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1">
        <f t="shared" si="9"/>
        <v>0.15536354261182861</v>
      </c>
      <c r="B63" s="121">
        <f t="shared" si="3"/>
        <v>6.375</v>
      </c>
      <c r="C63" s="68">
        <f t="shared" si="4"/>
        <v>151.48487012173817</v>
      </c>
      <c r="D63" s="149" t="str">
        <f t="shared" si="7"/>
        <v>2.11°</v>
      </c>
      <c r="E63" s="68">
        <f t="shared" si="11"/>
        <v>31.952756305643103</v>
      </c>
      <c r="F63" s="121">
        <f t="shared" si="10"/>
        <v>1.2579825317182325</v>
      </c>
      <c r="G63" s="121">
        <f t="shared" si="6"/>
        <v>0.62899126585911624</v>
      </c>
      <c r="H63" s="121">
        <f t="shared" si="2"/>
        <v>-0.62899126585911624</v>
      </c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1">
        <f t="shared" si="9"/>
        <v>0.15765849078923586</v>
      </c>
      <c r="B64" s="121">
        <f t="shared" si="3"/>
        <v>6.5</v>
      </c>
      <c r="C64" s="68">
        <f t="shared" si="4"/>
        <v>149.27978795426131</v>
      </c>
      <c r="D64" s="149" t="str">
        <f t="shared" si="7"/>
        <v>2.12°</v>
      </c>
      <c r="E64" s="68">
        <f t="shared" si="11"/>
        <v>32.187885804731302</v>
      </c>
      <c r="F64" s="121">
        <f t="shared" si="10"/>
        <v>1.2672395986114686</v>
      </c>
      <c r="G64" s="121">
        <f t="shared" si="6"/>
        <v>0.63361979930573431</v>
      </c>
      <c r="H64" s="121">
        <f t="shared" si="2"/>
        <v>-0.63361979930573431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1">
        <f t="shared" si="9"/>
        <v>0.15998733872876522</v>
      </c>
      <c r="B65" s="121">
        <f t="shared" si="3"/>
        <v>6.625</v>
      </c>
      <c r="C65" s="68">
        <f t="shared" si="4"/>
        <v>147.10680395844619</v>
      </c>
      <c r="D65" s="149" t="str">
        <f t="shared" si="7"/>
        <v>2.14°</v>
      </c>
      <c r="E65" s="68">
        <f t="shared" si="11"/>
        <v>32.424745542075399</v>
      </c>
      <c r="F65" s="121">
        <f t="shared" si="10"/>
        <v>1.2765647851210788</v>
      </c>
      <c r="G65" s="121">
        <f t="shared" si="6"/>
        <v>0.63828239256053942</v>
      </c>
      <c r="H65" s="121">
        <f t="shared" si="2"/>
        <v>-0.63828239256053942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1">
        <f t="shared" si="9"/>
        <v>0.16235058717979442</v>
      </c>
      <c r="B66" s="121">
        <f t="shared" si="3"/>
        <v>6.75</v>
      </c>
      <c r="C66" s="68">
        <f t="shared" si="4"/>
        <v>144.96545089881326</v>
      </c>
      <c r="D66" s="149" t="str">
        <f t="shared" si="7"/>
        <v>2.15°</v>
      </c>
      <c r="E66" s="68">
        <f t="shared" si="11"/>
        <v>32.663348249912033</v>
      </c>
      <c r="F66" s="121">
        <f t="shared" si="10"/>
        <v>1.2859585925162218</v>
      </c>
      <c r="G66" s="121">
        <f t="shared" si="6"/>
        <v>0.6429792962581109</v>
      </c>
      <c r="H66" s="121">
        <f t="shared" si="2"/>
        <v>-0.6429792962581109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1">
        <f t="shared" si="9"/>
        <v>0.16474874428850667</v>
      </c>
      <c r="B67" s="121">
        <f t="shared" si="3"/>
        <v>6.875</v>
      </c>
      <c r="C67" s="68">
        <f t="shared" si="4"/>
        <v>142.85526834117351</v>
      </c>
      <c r="D67" s="149" t="str">
        <f t="shared" si="7"/>
        <v>2.17°</v>
      </c>
      <c r="E67" s="68">
        <f t="shared" si="11"/>
        <v>32.903706754170052</v>
      </c>
      <c r="F67" s="121">
        <f t="shared" si="10"/>
        <v>1.2954215257547266</v>
      </c>
      <c r="G67" s="121">
        <f t="shared" si="6"/>
        <v>0.64771076287736329</v>
      </c>
      <c r="H67" s="121">
        <f t="shared" si="2"/>
        <v>-0.64771076287736329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1">
        <f t="shared" si="9"/>
        <v>0.16718232570715191</v>
      </c>
      <c r="B68" s="121">
        <f t="shared" si="3"/>
        <v>7</v>
      </c>
      <c r="C68" s="68">
        <f t="shared" si="4"/>
        <v>140.77580255362594</v>
      </c>
      <c r="D68" s="149" t="str">
        <f t="shared" si="7"/>
        <v>2.18°</v>
      </c>
      <c r="E68" s="68">
        <f t="shared" si="11"/>
        <v>33.14583397515996</v>
      </c>
      <c r="F68" s="121">
        <f t="shared" si="10"/>
        <v>1.3049540935102346</v>
      </c>
      <c r="G68" s="121">
        <f t="shared" si="6"/>
        <v>0.65247704675511731</v>
      </c>
      <c r="H68" s="121">
        <f t="shared" si="2"/>
        <v>-0.65247704675511731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1">
        <f t="shared" si="9"/>
        <v>0.16965185470492286</v>
      </c>
      <c r="B69" s="121">
        <f t="shared" si="3"/>
        <v>7.125</v>
      </c>
      <c r="C69" s="68">
        <f t="shared" si="4"/>
        <v>138.72660640899593</v>
      </c>
      <c r="D69" s="149" t="str">
        <f t="shared" si="7"/>
        <v>2.2°</v>
      </c>
      <c r="E69" s="68">
        <f t="shared" si="11"/>
        <v>33.389742928268447</v>
      </c>
      <c r="F69" s="121">
        <f t="shared" si="10"/>
        <v>1.3145568081995451</v>
      </c>
      <c r="G69" s="121">
        <f t="shared" si="6"/>
        <v>0.65727840409977256</v>
      </c>
      <c r="H69" s="121">
        <f t="shared" si="2"/>
        <v>-0.65727840409977256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1">
        <f t="shared" si="9"/>
        <v>0.17215786228046834</v>
      </c>
      <c r="B70" s="121">
        <f t="shared" si="3"/>
        <v>7.25</v>
      </c>
      <c r="C70" s="68">
        <f t="shared" si="4"/>
        <v>136.70723928869393</v>
      </c>
      <c r="D70" s="149" t="str">
        <f t="shared" si="7"/>
        <v>2.22°</v>
      </c>
      <c r="E70" s="68">
        <f t="shared" si="11"/>
        <v>33.635446724658024</v>
      </c>
      <c r="F70" s="121">
        <f t="shared" si="10"/>
        <v>1.3242301860101584</v>
      </c>
      <c r="G70" s="121">
        <f t="shared" si="6"/>
        <v>0.6621150930050792</v>
      </c>
      <c r="H70" s="121">
        <f t="shared" si="2"/>
        <v>-0.6621150930050792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1">
        <f t="shared" si="9"/>
        <v>0.17470088727606861</v>
      </c>
      <c r="B71" s="121">
        <f t="shared" si="3"/>
        <v>7.375</v>
      </c>
      <c r="C71" s="68">
        <f t="shared" si="4"/>
        <v>134.71726698797352</v>
      </c>
      <c r="D71" s="149" t="str">
        <f t="shared" si="7"/>
        <v>2.23°</v>
      </c>
      <c r="E71" s="68">
        <f t="shared" si="11"/>
        <v>33.882958571971798</v>
      </c>
      <c r="F71" s="121">
        <f t="shared" si="10"/>
        <v>1.3339747469280236</v>
      </c>
      <c r="G71" s="121">
        <f t="shared" si="6"/>
        <v>0.66698737346401182</v>
      </c>
      <c r="H71" s="121">
        <f t="shared" si="2"/>
        <v>-0.66698737346401182</v>
      </c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1">
        <f t="shared" si="9"/>
        <v>0.17728147649349749</v>
      </c>
      <c r="B72" s="121">
        <f t="shared" si="3"/>
        <v>7.5</v>
      </c>
      <c r="C72" s="68">
        <f t="shared" si="4"/>
        <v>132.75626162256859</v>
      </c>
      <c r="D72" s="149" t="str">
        <f t="shared" si="7"/>
        <v>2.25°</v>
      </c>
      <c r="E72" s="68">
        <f t="shared" si="11"/>
        <v>34.132291775043448</v>
      </c>
      <c r="F72" s="121">
        <f t="shared" si="10"/>
        <v>1.3437910147654901</v>
      </c>
      <c r="G72" s="121">
        <f t="shared" si="6"/>
        <v>0.67189550738274506</v>
      </c>
      <c r="H72" s="121">
        <f t="shared" si="2"/>
        <v>-0.67189550738274506</v>
      </c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1">
        <f t="shared" si="9"/>
        <v>0.17990018481159589</v>
      </c>
      <c r="B73" s="121">
        <f t="shared" si="3"/>
        <v>7.625</v>
      </c>
      <c r="C73" s="68">
        <f t="shared" si="4"/>
        <v>130.82380153668961</v>
      </c>
      <c r="D73" s="149" t="str">
        <f t="shared" si="7"/>
        <v>2.27°</v>
      </c>
      <c r="E73" s="68">
        <f t="shared" si="11"/>
        <v>34.383459736612416</v>
      </c>
      <c r="F73" s="121">
        <f t="shared" si="10"/>
        <v>1.3536795171894653</v>
      </c>
      <c r="G73" s="121">
        <f t="shared" si="6"/>
        <v>0.67683975859473267</v>
      </c>
      <c r="H73" s="121">
        <f t="shared" si="2"/>
        <v>-0.67683975859473267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1">
        <f t="shared" si="9"/>
        <v>0.1825575753055815</v>
      </c>
      <c r="B74" s="121">
        <f t="shared" si="3"/>
        <v>7.75</v>
      </c>
      <c r="C74" s="68">
        <f t="shared" si="4"/>
        <v>128.91947121235918</v>
      </c>
      <c r="D74" s="149" t="str">
        <f t="shared" si="7"/>
        <v>2.28°</v>
      </c>
      <c r="E74" s="68">
        <f t="shared" si="11"/>
        <v>34.636475958044343</v>
      </c>
      <c r="F74" s="121">
        <f t="shared" si="10"/>
        <v>1.3636407857497774</v>
      </c>
      <c r="G74" s="121">
        <f t="shared" si="6"/>
        <v>0.68182039287488871</v>
      </c>
      <c r="H74" s="121">
        <f t="shared" si="2"/>
        <v>-0.68182039287488871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1">
        <f t="shared" si="9"/>
        <v>0.18525421936812189</v>
      </c>
      <c r="B75" s="121">
        <f t="shared" si="3"/>
        <v>7.875</v>
      </c>
      <c r="C75" s="68">
        <f t="shared" si="4"/>
        <v>127.04286118006709</v>
      </c>
      <c r="D75" s="149" t="str">
        <f t="shared" si="7"/>
        <v>2.3°</v>
      </c>
      <c r="E75" s="68">
        <f t="shared" si="11"/>
        <v>34.891354040056854</v>
      </c>
      <c r="F75" s="121">
        <f t="shared" si="10"/>
        <v>1.3736753559077501</v>
      </c>
      <c r="G75" s="121">
        <f t="shared" si="6"/>
        <v>0.68683767795387507</v>
      </c>
      <c r="H75" s="121">
        <f t="shared" si="2"/>
        <v>-0.68683767795387507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1">
        <f t="shared" ref="A76:A92" si="12">$B$13*PI()*G76^2</f>
        <v>0.18799069683219535</v>
      </c>
      <c r="B76" s="121">
        <f t="shared" si="3"/>
        <v>8</v>
      </c>
      <c r="C76" s="68">
        <f t="shared" si="4"/>
        <v>125.19356793072626</v>
      </c>
      <c r="D76" s="149" t="str">
        <f t="shared" si="7"/>
        <v>2.32°</v>
      </c>
      <c r="E76" s="68">
        <f t="shared" si="11"/>
        <v>35.14810768345064</v>
      </c>
      <c r="F76" s="121">
        <f t="shared" ref="F76:F92" si="13">E76/25.4</f>
        <v>1.383783767064986</v>
      </c>
      <c r="G76" s="121">
        <f t="shared" si="6"/>
        <v>0.69189188353249298</v>
      </c>
      <c r="H76" s="121">
        <f t="shared" ref="H76:H92" si="14">-G76</f>
        <v>-0.69189188353249298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1">
        <f t="shared" si="12"/>
        <v>0.19076759609576632</v>
      </c>
      <c r="B77" s="121">
        <f t="shared" ref="B77:B92" si="15">B76+$B$5/$B$9</f>
        <v>8.125</v>
      </c>
      <c r="C77" s="68">
        <f t="shared" ref="C77:C92" si="16">C76/$B$10</f>
        <v>123.37119382891007</v>
      </c>
      <c r="D77" s="149" t="str">
        <f t="shared" si="7"/>
        <v>2.33°</v>
      </c>
      <c r="E77" s="68">
        <f t="shared" ref="E77:E92" si="17">$E$10*E76</f>
        <v>35.406750689845936</v>
      </c>
      <c r="F77" s="121">
        <f t="shared" si="13"/>
        <v>1.3939665625923598</v>
      </c>
      <c r="G77" s="121">
        <f t="shared" ref="G77:G92" si="18">F77/2</f>
        <v>0.69698328129617992</v>
      </c>
      <c r="H77" s="121">
        <f t="shared" si="14"/>
        <v>-0.69698328129617992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1">
        <f t="shared" si="12"/>
        <v>0.19358551424830342</v>
      </c>
      <c r="B78" s="121">
        <f t="shared" si="15"/>
        <v>8.25</v>
      </c>
      <c r="C78" s="68">
        <f t="shared" si="16"/>
        <v>121.57534702735268</v>
      </c>
      <c r="D78" s="149" t="str">
        <f t="shared" ref="D78:D92" si="19">CONCATENATE(ROUND(180*ATAN((G78-G77)/0.125)/PI(),2),"°")</f>
        <v>2.35°</v>
      </c>
      <c r="E78" s="68">
        <f t="shared" si="17"/>
        <v>35.66729696242443</v>
      </c>
      <c r="F78" s="121">
        <f t="shared" si="13"/>
        <v>1.4042242898592296</v>
      </c>
      <c r="G78" s="121">
        <f t="shared" si="18"/>
        <v>0.70211214492961482</v>
      </c>
      <c r="H78" s="121">
        <f t="shared" si="14"/>
        <v>-0.70211214492961482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1">
        <f t="shared" si="12"/>
        <v>0.19644505719916538</v>
      </c>
      <c r="B79" s="121">
        <f t="shared" si="15"/>
        <v>8.375</v>
      </c>
      <c r="C79" s="68">
        <f t="shared" si="16"/>
        <v>119.80564138269401</v>
      </c>
      <c r="D79" s="149" t="str">
        <f t="shared" si="19"/>
        <v>2.37°</v>
      </c>
      <c r="E79" s="68">
        <f t="shared" si="17"/>
        <v>35.929760506676601</v>
      </c>
      <c r="F79" s="121">
        <f t="shared" si="13"/>
        <v>1.4145575002628583</v>
      </c>
      <c r="G79" s="121">
        <f t="shared" si="18"/>
        <v>0.70727875013142916</v>
      </c>
      <c r="H79" s="121">
        <f t="shared" si="14"/>
        <v>-0.70727875013142916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1">
        <f t="shared" si="12"/>
        <v>0.19934683980788387</v>
      </c>
      <c r="B80" s="121">
        <f t="shared" si="15"/>
        <v>8.5</v>
      </c>
      <c r="C80" s="68">
        <f t="shared" si="16"/>
        <v>118.06169637245107</v>
      </c>
      <c r="D80" s="149" t="str">
        <f t="shared" si="19"/>
        <v>2.38°</v>
      </c>
      <c r="E80" s="68">
        <f t="shared" si="17"/>
        <v>36.194155431154584</v>
      </c>
      <c r="F80" s="121">
        <f t="shared" si="13"/>
        <v>1.4249667492580547</v>
      </c>
      <c r="G80" s="121">
        <f t="shared" si="18"/>
        <v>0.71248337462902733</v>
      </c>
      <c r="H80" s="121">
        <f t="shared" si="14"/>
        <v>-0.71248337462902733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1">
        <f t="shared" si="12"/>
        <v>0.20229148601637062</v>
      </c>
      <c r="B81" s="121">
        <f t="shared" si="15"/>
        <v>8.625</v>
      </c>
      <c r="C81" s="68">
        <f t="shared" si="16"/>
        <v>116.34313701319793</v>
      </c>
      <c r="D81" s="149" t="str">
        <f t="shared" si="19"/>
        <v>2.4°</v>
      </c>
      <c r="E81" s="68">
        <f t="shared" si="17"/>
        <v>36.460495948230566</v>
      </c>
      <c r="F81" s="121">
        <f t="shared" si="13"/>
        <v>1.4354525963870302</v>
      </c>
      <c r="G81" s="121">
        <f t="shared" si="18"/>
        <v>0.71772629819351508</v>
      </c>
      <c r="H81" s="121">
        <f t="shared" si="14"/>
        <v>-0.71772629819351508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1">
        <f t="shared" si="12"/>
        <v>0.20527962898307803</v>
      </c>
      <c r="B82" s="121">
        <f t="shared" si="15"/>
        <v>8.75</v>
      </c>
      <c r="C82" s="68">
        <f t="shared" si="16"/>
        <v>114.64959377993675</v>
      </c>
      <c r="D82" s="149" t="str">
        <f t="shared" si="19"/>
        <v>2.42°</v>
      </c>
      <c r="E82" s="68">
        <f t="shared" si="17"/>
        <v>36.728796374860764</v>
      </c>
      <c r="F82" s="121">
        <f t="shared" si="13"/>
        <v>1.446015605309479</v>
      </c>
      <c r="G82" s="121">
        <f t="shared" si="18"/>
        <v>0.72300780265473952</v>
      </c>
      <c r="H82" s="121">
        <f t="shared" si="14"/>
        <v>-0.72300780265473952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1">
        <f t="shared" si="12"/>
        <v>0.20831191121914028</v>
      </c>
      <c r="B83" s="121">
        <f t="shared" si="15"/>
        <v>8.875</v>
      </c>
      <c r="C83" s="68">
        <f t="shared" si="16"/>
        <v>112.98070252664238</v>
      </c>
      <c r="D83" s="149" t="str">
        <f t="shared" si="19"/>
        <v>2.44°</v>
      </c>
      <c r="E83" s="68">
        <f t="shared" si="17"/>
        <v>36.999071133355017</v>
      </c>
      <c r="F83" s="121">
        <f t="shared" si="13"/>
        <v>1.4566563438328748</v>
      </c>
      <c r="G83" s="121">
        <f t="shared" si="18"/>
        <v>0.72832817191643739</v>
      </c>
      <c r="H83" s="121">
        <f t="shared" si="14"/>
        <v>-0.72832817191643739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1">
        <f t="shared" si="12"/>
        <v>0.21138898472652681</v>
      </c>
      <c r="B84" s="121">
        <f t="shared" si="15"/>
        <v>9</v>
      </c>
      <c r="C84" s="68">
        <f t="shared" si="16"/>
        <v>111.33610440796362</v>
      </c>
      <c r="D84" s="149" t="str">
        <f t="shared" si="19"/>
        <v>2.46°</v>
      </c>
      <c r="E84" s="68">
        <f t="shared" si="17"/>
        <v>37.271334752152057</v>
      </c>
      <c r="F84" s="121">
        <f t="shared" si="13"/>
        <v>1.4673753839429944</v>
      </c>
      <c r="G84" s="121">
        <f t="shared" si="18"/>
        <v>0.73368769197149719</v>
      </c>
      <c r="H84" s="121">
        <f t="shared" si="14"/>
        <v>-0.73368769197149719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1">
        <f t="shared" si="12"/>
        <v>0.21451151113823583</v>
      </c>
      <c r="B85" s="121">
        <f t="shared" si="15"/>
        <v>9.125</v>
      </c>
      <c r="C85" s="68">
        <f t="shared" si="16"/>
        <v>109.71544580206427</v>
      </c>
      <c r="D85" s="149" t="str">
        <f t="shared" si="19"/>
        <v>2.47°</v>
      </c>
      <c r="E85" s="68">
        <f t="shared" si="17"/>
        <v>37.545601866600471</v>
      </c>
      <c r="F85" s="121">
        <f t="shared" si="13"/>
        <v>1.4781733018346643</v>
      </c>
      <c r="G85" s="121">
        <f t="shared" si="18"/>
        <v>0.73908665091733217</v>
      </c>
      <c r="H85" s="121">
        <f t="shared" si="14"/>
        <v>-0.73908665091733217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1">
        <f t="shared" si="12"/>
        <v>0.21768016186055844</v>
      </c>
      <c r="B86" s="121">
        <f t="shared" si="15"/>
        <v>9.25</v>
      </c>
      <c r="C86" s="68">
        <f t="shared" si="16"/>
        <v>108.1183782345872</v>
      </c>
      <c r="D86" s="149" t="str">
        <f t="shared" si="19"/>
        <v>2.49°</v>
      </c>
      <c r="E86" s="68">
        <f t="shared" si="17"/>
        <v>37.821887219745406</v>
      </c>
      <c r="F86" s="121">
        <f t="shared" si="13"/>
        <v>1.4890506779427326</v>
      </c>
      <c r="G86" s="121">
        <f t="shared" si="18"/>
        <v>0.7445253389713663</v>
      </c>
      <c r="H86" s="121">
        <f t="shared" si="14"/>
        <v>-0.7445253389713663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1">
        <f t="shared" si="12"/>
        <v>0.22089561821744488</v>
      </c>
      <c r="B87" s="121">
        <f t="shared" si="15"/>
        <v>9.375</v>
      </c>
      <c r="C87" s="68">
        <f t="shared" si="16"/>
        <v>106.54455830372538</v>
      </c>
      <c r="D87" s="149" t="str">
        <f t="shared" si="19"/>
        <v>2.51°</v>
      </c>
      <c r="E87" s="68">
        <f t="shared" si="17"/>
        <v>38.100205663121088</v>
      </c>
      <c r="F87" s="121">
        <f t="shared" si="13"/>
        <v>1.5000080969732712</v>
      </c>
      <c r="G87" s="121">
        <f t="shared" si="18"/>
        <v>0.7500040484866356</v>
      </c>
      <c r="H87" s="121">
        <f t="shared" si="14"/>
        <v>-0.7500040484866356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1">
        <f t="shared" si="12"/>
        <v>0.22415857159700284</v>
      </c>
      <c r="B88" s="121">
        <f t="shared" si="15"/>
        <v>9.5</v>
      </c>
      <c r="C88" s="68">
        <f t="shared" si="16"/>
        <v>104.99364760638355</v>
      </c>
      <c r="D88" s="149" t="str">
        <f t="shared" si="19"/>
        <v>2.53°</v>
      </c>
      <c r="E88" s="68">
        <f t="shared" si="17"/>
        <v>38.380572157549139</v>
      </c>
      <c r="F88" s="121">
        <f t="shared" si="13"/>
        <v>1.5110461479350055</v>
      </c>
      <c r="G88" s="121">
        <f t="shared" si="18"/>
        <v>0.75552307396750273</v>
      </c>
      <c r="H88" s="121">
        <f t="shared" si="14"/>
        <v>-0.75552307396750273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1">
        <f t="shared" si="12"/>
        <v>0.22746972360016007</v>
      </c>
      <c r="B89" s="121">
        <f t="shared" si="15"/>
        <v>9.625</v>
      </c>
      <c r="C89" s="68">
        <f t="shared" si="16"/>
        <v>103.46531266541467</v>
      </c>
      <c r="D89" s="149" t="str">
        <f t="shared" si="19"/>
        <v>2.55°</v>
      </c>
      <c r="E89" s="68">
        <f t="shared" si="17"/>
        <v>38.663001773942803</v>
      </c>
      <c r="F89" s="121">
        <f t="shared" si="13"/>
        <v>1.5221654241709766</v>
      </c>
      <c r="G89" s="121">
        <f t="shared" si="18"/>
        <v>0.76108271208548828</v>
      </c>
      <c r="H89" s="121">
        <f t="shared" si="14"/>
        <v>-0.76108271208548828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1">
        <f t="shared" si="12"/>
        <v>0.23082978619152233</v>
      </c>
      <c r="B90" s="121">
        <f t="shared" si="15"/>
        <v>9.75</v>
      </c>
      <c r="C90" s="68">
        <f t="shared" si="16"/>
        <v>101.95922485791566</v>
      </c>
      <c r="D90" s="149" t="str">
        <f t="shared" si="19"/>
        <v>2.57°</v>
      </c>
      <c r="E90" s="68">
        <f t="shared" si="17"/>
        <v>38.947509694117059</v>
      </c>
      <c r="F90" s="121">
        <f t="shared" si="13"/>
        <v>1.5333665233904354</v>
      </c>
      <c r="G90" s="121">
        <f t="shared" si="18"/>
        <v>0.76668326169521772</v>
      </c>
      <c r="H90" s="121">
        <f t="shared" si="14"/>
        <v>-0.76668326169521772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1">
        <f t="shared" si="12"/>
        <v>0.23423948185246055</v>
      </c>
      <c r="B91" s="121">
        <f t="shared" si="15"/>
        <v>9.875</v>
      </c>
      <c r="C91" s="68">
        <f t="shared" si="16"/>
        <v>100.47506034456676</v>
      </c>
      <c r="D91" s="149" t="str">
        <f t="shared" si="19"/>
        <v>2.58°</v>
      </c>
      <c r="E91" s="68">
        <f t="shared" si="17"/>
        <v>39.234111211604713</v>
      </c>
      <c r="F91" s="121">
        <f t="shared" si="13"/>
        <v>1.544650047700973</v>
      </c>
      <c r="G91" s="121">
        <f t="shared" si="18"/>
        <v>0.77232502385048651</v>
      </c>
      <c r="H91" s="121">
        <f t="shared" si="14"/>
        <v>-0.77232502385048651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1">
        <f t="shared" si="12"/>
        <v>0.2376995437364588</v>
      </c>
      <c r="B92" s="121">
        <f t="shared" si="15"/>
        <v>10</v>
      </c>
      <c r="C92" s="68">
        <f t="shared" si="16"/>
        <v>99.012499999999577</v>
      </c>
      <c r="D92" s="149" t="str">
        <f t="shared" si="19"/>
        <v>2.6°</v>
      </c>
      <c r="E92" s="68">
        <f t="shared" si="17"/>
        <v>39.522821732478498</v>
      </c>
      <c r="F92" s="121">
        <f t="shared" si="13"/>
        <v>1.5560166036408858</v>
      </c>
      <c r="G92" s="121">
        <f t="shared" si="18"/>
        <v>0.77800830182044289</v>
      </c>
      <c r="H92" s="121">
        <f t="shared" si="14"/>
        <v>-0.77800830182044289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zoomScale="125" zoomScaleNormal="125" zoomScalePageLayoutView="125" workbookViewId="0"/>
  </sheetViews>
  <sheetFormatPr baseColWidth="10" defaultColWidth="8.7109375" defaultRowHeight="18" x14ac:dyDescent="0"/>
  <cols>
    <col min="1" max="1" width="16.7109375" style="117" customWidth="1"/>
    <col min="2" max="4" width="9.140625" style="118" customWidth="1"/>
    <col min="5" max="5" width="8.7109375" style="118" customWidth="1"/>
    <col min="6" max="6" width="10.28515625" style="118" customWidth="1"/>
    <col min="7" max="7" width="9.140625" style="117" customWidth="1"/>
    <col min="8" max="28" width="9.140625" style="118" customWidth="1"/>
    <col min="29" max="16384" width="8.7109375" style="108"/>
  </cols>
  <sheetData>
    <row r="3" spans="1:19">
      <c r="B3" s="116" t="s">
        <v>94</v>
      </c>
    </row>
    <row r="5" spans="1:19">
      <c r="I5" s="128"/>
      <c r="J5" s="129"/>
      <c r="K5" s="129"/>
      <c r="L5" s="130" t="s">
        <v>95</v>
      </c>
      <c r="M5" s="129"/>
      <c r="N5" s="129"/>
      <c r="O5" s="129"/>
      <c r="P5" s="129"/>
      <c r="Q5" s="129"/>
      <c r="R5" s="131"/>
    </row>
    <row r="6" spans="1:19">
      <c r="B6" s="136" t="s">
        <v>435</v>
      </c>
      <c r="C6" s="131"/>
      <c r="D6" s="130" t="s">
        <v>431</v>
      </c>
      <c r="E6" s="131"/>
      <c r="F6" s="135" t="s">
        <v>97</v>
      </c>
      <c r="G6" s="134" t="s">
        <v>98</v>
      </c>
      <c r="H6" s="131"/>
      <c r="I6" s="132">
        <v>1.1000000000000001</v>
      </c>
      <c r="J6" s="145"/>
      <c r="K6" s="120">
        <v>1.25</v>
      </c>
      <c r="L6" s="145"/>
      <c r="M6" s="120">
        <v>1.3</v>
      </c>
      <c r="N6" s="145"/>
      <c r="O6" s="120">
        <v>1.4</v>
      </c>
      <c r="P6" s="145"/>
      <c r="Q6" s="120">
        <v>1.5</v>
      </c>
      <c r="R6" s="133"/>
    </row>
    <row r="7" spans="1:19">
      <c r="B7" s="141" t="s">
        <v>99</v>
      </c>
      <c r="C7" s="142" t="s">
        <v>38</v>
      </c>
      <c r="D7" s="141" t="s">
        <v>99</v>
      </c>
      <c r="E7" s="142" t="s">
        <v>38</v>
      </c>
      <c r="F7" s="137" t="s">
        <v>436</v>
      </c>
      <c r="G7" s="141" t="s">
        <v>99</v>
      </c>
      <c r="H7" s="142" t="s">
        <v>38</v>
      </c>
      <c r="I7" s="138" t="s">
        <v>99</v>
      </c>
      <c r="J7" s="139" t="s">
        <v>38</v>
      </c>
      <c r="K7" s="138" t="s">
        <v>99</v>
      </c>
      <c r="L7" s="139" t="s">
        <v>38</v>
      </c>
      <c r="M7" s="138" t="s">
        <v>99</v>
      </c>
      <c r="N7" s="139" t="s">
        <v>38</v>
      </c>
      <c r="O7" s="138" t="s">
        <v>99</v>
      </c>
      <c r="P7" s="139" t="s">
        <v>38</v>
      </c>
      <c r="Q7" s="138" t="s">
        <v>99</v>
      </c>
      <c r="R7" s="139" t="s">
        <v>38</v>
      </c>
      <c r="S7" s="115" t="s">
        <v>100</v>
      </c>
    </row>
    <row r="8" spans="1:19" ht="21" customHeight="1">
      <c r="A8" s="118"/>
      <c r="B8" s="117" t="s">
        <v>33</v>
      </c>
      <c r="C8" s="117" t="s">
        <v>33</v>
      </c>
      <c r="D8" s="117" t="s">
        <v>33</v>
      </c>
      <c r="E8" s="117" t="s">
        <v>33</v>
      </c>
      <c r="F8" s="117" t="s">
        <v>33</v>
      </c>
      <c r="G8" s="119" t="s">
        <v>11</v>
      </c>
      <c r="H8" s="119" t="s">
        <v>11</v>
      </c>
      <c r="I8" s="119" t="s">
        <v>11</v>
      </c>
      <c r="J8" s="119" t="s">
        <v>11</v>
      </c>
      <c r="K8" s="119" t="s">
        <v>11</v>
      </c>
      <c r="L8" s="119" t="s">
        <v>11</v>
      </c>
      <c r="M8" s="119" t="s">
        <v>11</v>
      </c>
      <c r="N8" s="119" t="s">
        <v>11</v>
      </c>
      <c r="O8" s="119" t="s">
        <v>11</v>
      </c>
      <c r="P8" s="119" t="s">
        <v>11</v>
      </c>
      <c r="Q8" s="119" t="s">
        <v>11</v>
      </c>
      <c r="R8" s="119" t="s">
        <v>11</v>
      </c>
    </row>
    <row r="9" spans="1:19" ht="21" customHeight="1">
      <c r="A9" s="119" t="s">
        <v>466</v>
      </c>
      <c r="B9" s="117"/>
      <c r="C9" s="117"/>
      <c r="D9" s="117"/>
      <c r="E9" s="117"/>
      <c r="F9" s="117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</row>
    <row r="10" spans="1:19">
      <c r="A10" s="117" t="s">
        <v>439</v>
      </c>
      <c r="B10" s="117" t="s">
        <v>236</v>
      </c>
      <c r="C10" s="117" t="s">
        <v>236</v>
      </c>
      <c r="D10" s="117" t="s">
        <v>144</v>
      </c>
      <c r="E10" s="117" t="s">
        <v>144</v>
      </c>
      <c r="F10" s="117" t="s">
        <v>130</v>
      </c>
      <c r="G10" s="117">
        <v>0.375</v>
      </c>
      <c r="H10" s="117">
        <v>0.375</v>
      </c>
      <c r="I10" s="121">
        <f t="shared" ref="I10:J12" si="0">$I$6*G10</f>
        <v>0.41250000000000003</v>
      </c>
      <c r="J10" s="121">
        <f t="shared" si="0"/>
        <v>0.41250000000000003</v>
      </c>
      <c r="K10" s="121">
        <f t="shared" ref="K10:L12" si="1">$K$6*G10</f>
        <v>0.46875</v>
      </c>
      <c r="L10" s="121">
        <f t="shared" si="1"/>
        <v>0.46875</v>
      </c>
      <c r="M10" s="121">
        <f t="shared" ref="M10:N12" si="2">$M$6*G10</f>
        <v>0.48750000000000004</v>
      </c>
      <c r="N10" s="121">
        <f t="shared" si="2"/>
        <v>0.48750000000000004</v>
      </c>
      <c r="O10" s="121">
        <f t="shared" ref="O10:P12" si="3">$O$6*G10</f>
        <v>0.52499999999999991</v>
      </c>
      <c r="P10" s="121">
        <f t="shared" si="3"/>
        <v>0.52499999999999991</v>
      </c>
      <c r="Q10" s="121">
        <f t="shared" ref="Q10:R12" si="4">$Q$6*G10</f>
        <v>0.5625</v>
      </c>
      <c r="R10" s="121">
        <f t="shared" si="4"/>
        <v>0.5625</v>
      </c>
      <c r="S10" s="118" t="s">
        <v>511</v>
      </c>
    </row>
    <row r="11" spans="1:19">
      <c r="A11" s="117" t="s">
        <v>437</v>
      </c>
      <c r="B11" s="117" t="s">
        <v>175</v>
      </c>
      <c r="C11" s="117" t="s">
        <v>175</v>
      </c>
      <c r="D11" s="117" t="s">
        <v>202</v>
      </c>
      <c r="E11" s="117" t="s">
        <v>202</v>
      </c>
      <c r="F11" s="117" t="s">
        <v>222</v>
      </c>
      <c r="G11" s="117">
        <v>0.375</v>
      </c>
      <c r="H11" s="117">
        <v>0.375</v>
      </c>
      <c r="I11" s="121">
        <f t="shared" si="0"/>
        <v>0.41250000000000003</v>
      </c>
      <c r="J11" s="121">
        <f t="shared" si="0"/>
        <v>0.41250000000000003</v>
      </c>
      <c r="K11" s="121">
        <f t="shared" si="1"/>
        <v>0.46875</v>
      </c>
      <c r="L11" s="121">
        <f t="shared" si="1"/>
        <v>0.46875</v>
      </c>
      <c r="M11" s="121">
        <f t="shared" si="2"/>
        <v>0.48750000000000004</v>
      </c>
      <c r="N11" s="121">
        <f t="shared" si="2"/>
        <v>0.48750000000000004</v>
      </c>
      <c r="O11" s="121">
        <f t="shared" si="3"/>
        <v>0.52499999999999991</v>
      </c>
      <c r="P11" s="121">
        <f t="shared" si="3"/>
        <v>0.52499999999999991</v>
      </c>
      <c r="Q11" s="121">
        <f t="shared" si="4"/>
        <v>0.5625</v>
      </c>
      <c r="R11" s="121">
        <f t="shared" si="4"/>
        <v>0.5625</v>
      </c>
      <c r="S11" s="118" t="s">
        <v>492</v>
      </c>
    </row>
    <row r="12" spans="1:19">
      <c r="A12" s="117" t="s">
        <v>451</v>
      </c>
      <c r="B12" s="117" t="s">
        <v>241</v>
      </c>
      <c r="C12" s="117" t="s">
        <v>241</v>
      </c>
      <c r="D12" s="117" t="s">
        <v>113</v>
      </c>
      <c r="E12" s="117" t="s">
        <v>113</v>
      </c>
      <c r="F12" s="117" t="s">
        <v>452</v>
      </c>
      <c r="G12" s="117">
        <v>0.375</v>
      </c>
      <c r="H12" s="117">
        <v>0.375</v>
      </c>
      <c r="I12" s="121">
        <f t="shared" si="0"/>
        <v>0.41250000000000003</v>
      </c>
      <c r="J12" s="121">
        <f t="shared" si="0"/>
        <v>0.41250000000000003</v>
      </c>
      <c r="K12" s="121">
        <f t="shared" si="1"/>
        <v>0.46875</v>
      </c>
      <c r="L12" s="121">
        <f t="shared" si="1"/>
        <v>0.46875</v>
      </c>
      <c r="M12" s="121">
        <f t="shared" si="2"/>
        <v>0.48750000000000004</v>
      </c>
      <c r="N12" s="121">
        <f t="shared" si="2"/>
        <v>0.48750000000000004</v>
      </c>
      <c r="O12" s="121">
        <f t="shared" si="3"/>
        <v>0.52499999999999991</v>
      </c>
      <c r="P12" s="121">
        <f t="shared" si="3"/>
        <v>0.52499999999999991</v>
      </c>
      <c r="Q12" s="121">
        <f t="shared" si="4"/>
        <v>0.5625</v>
      </c>
      <c r="R12" s="121">
        <f t="shared" si="4"/>
        <v>0.5625</v>
      </c>
      <c r="S12" s="118" t="s">
        <v>574</v>
      </c>
    </row>
    <row r="13" spans="1:19">
      <c r="B13" s="122" t="s">
        <v>438</v>
      </c>
      <c r="C13" s="117"/>
      <c r="E13" s="117"/>
      <c r="F13" s="117"/>
      <c r="H13" s="117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9">
      <c r="A14" s="117" t="s">
        <v>103</v>
      </c>
      <c r="B14" s="122"/>
      <c r="C14" s="117"/>
      <c r="E14" s="117"/>
      <c r="F14" s="117"/>
      <c r="H14" s="117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9">
      <c r="A15" s="119" t="s">
        <v>104</v>
      </c>
      <c r="E15" s="117"/>
      <c r="F15" s="117"/>
      <c r="H15" s="117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9">
      <c r="A16" s="117">
        <v>61000</v>
      </c>
      <c r="B16" s="117" t="s">
        <v>105</v>
      </c>
      <c r="C16" s="117" t="s">
        <v>105</v>
      </c>
      <c r="D16" s="117" t="s">
        <v>106</v>
      </c>
      <c r="E16" s="117" t="s">
        <v>106</v>
      </c>
      <c r="F16" s="117" t="s">
        <v>102</v>
      </c>
      <c r="G16" s="121">
        <v>0.35399999999999998</v>
      </c>
      <c r="H16" s="121">
        <v>0.35399999999999998</v>
      </c>
      <c r="I16" s="121">
        <f t="shared" ref="I16:J22" si="5">$I$6*G16</f>
        <v>0.38940000000000002</v>
      </c>
      <c r="J16" s="121">
        <f t="shared" si="5"/>
        <v>0.38940000000000002</v>
      </c>
      <c r="K16" s="121">
        <f t="shared" ref="K16:L22" si="6">$K$6*G16</f>
        <v>0.4425</v>
      </c>
      <c r="L16" s="121">
        <f t="shared" si="6"/>
        <v>0.4425</v>
      </c>
      <c r="M16" s="121">
        <f t="shared" ref="M16:N22" si="7">$M$6*G16</f>
        <v>0.4602</v>
      </c>
      <c r="N16" s="121">
        <f t="shared" si="7"/>
        <v>0.4602</v>
      </c>
      <c r="O16" s="121">
        <f t="shared" ref="O16:P22" si="8">$O$6*G16</f>
        <v>0.49559999999999993</v>
      </c>
      <c r="P16" s="121">
        <f t="shared" si="8"/>
        <v>0.49559999999999993</v>
      </c>
      <c r="Q16" s="121">
        <f t="shared" ref="Q16:R22" si="9">$Q$6*G16</f>
        <v>0.53099999999999992</v>
      </c>
      <c r="R16" s="121">
        <f t="shared" si="9"/>
        <v>0.53099999999999992</v>
      </c>
      <c r="S16" s="118" t="s">
        <v>107</v>
      </c>
    </row>
    <row r="17" spans="1:38">
      <c r="A17" s="117">
        <v>61002</v>
      </c>
      <c r="B17" s="117" t="s">
        <v>108</v>
      </c>
      <c r="C17" s="117" t="s">
        <v>105</v>
      </c>
      <c r="D17" s="117" t="s">
        <v>109</v>
      </c>
      <c r="E17" s="117" t="s">
        <v>106</v>
      </c>
      <c r="F17" s="117" t="s">
        <v>102</v>
      </c>
      <c r="G17" s="121">
        <v>0.375</v>
      </c>
      <c r="H17" s="121">
        <v>0.38100000000000001</v>
      </c>
      <c r="I17" s="121">
        <f t="shared" si="5"/>
        <v>0.41250000000000003</v>
      </c>
      <c r="J17" s="121">
        <f t="shared" si="5"/>
        <v>0.41910000000000003</v>
      </c>
      <c r="K17" s="121">
        <f t="shared" si="6"/>
        <v>0.46875</v>
      </c>
      <c r="L17" s="121">
        <f t="shared" si="6"/>
        <v>0.47625000000000001</v>
      </c>
      <c r="M17" s="121">
        <f t="shared" si="7"/>
        <v>0.48750000000000004</v>
      </c>
      <c r="N17" s="121">
        <f t="shared" si="7"/>
        <v>0.49530000000000002</v>
      </c>
      <c r="O17" s="121">
        <f t="shared" si="8"/>
        <v>0.52499999999999991</v>
      </c>
      <c r="P17" s="121">
        <f t="shared" si="8"/>
        <v>0.53339999999999999</v>
      </c>
      <c r="Q17" s="121">
        <f t="shared" si="9"/>
        <v>0.5625</v>
      </c>
      <c r="R17" s="121">
        <f t="shared" si="9"/>
        <v>0.57150000000000001</v>
      </c>
      <c r="S17" s="118" t="s">
        <v>110</v>
      </c>
    </row>
    <row r="18" spans="1:38">
      <c r="A18" s="117">
        <v>61003</v>
      </c>
      <c r="B18" s="117" t="s">
        <v>111</v>
      </c>
      <c r="C18" s="117" t="s">
        <v>112</v>
      </c>
      <c r="D18" s="117" t="s">
        <v>113</v>
      </c>
      <c r="E18" s="117" t="s">
        <v>101</v>
      </c>
      <c r="F18" s="117" t="s">
        <v>114</v>
      </c>
      <c r="G18" s="121">
        <v>0.39800000000000002</v>
      </c>
      <c r="H18" s="121">
        <v>0.42099999999999999</v>
      </c>
      <c r="I18" s="121">
        <f t="shared" si="5"/>
        <v>0.43780000000000008</v>
      </c>
      <c r="J18" s="121">
        <f t="shared" si="5"/>
        <v>0.46310000000000001</v>
      </c>
      <c r="K18" s="121">
        <f t="shared" si="6"/>
        <v>0.49750000000000005</v>
      </c>
      <c r="L18" s="121">
        <f t="shared" si="6"/>
        <v>0.52625</v>
      </c>
      <c r="M18" s="121">
        <f t="shared" si="7"/>
        <v>0.51740000000000008</v>
      </c>
      <c r="N18" s="121">
        <f t="shared" si="7"/>
        <v>0.54730000000000001</v>
      </c>
      <c r="O18" s="121">
        <f t="shared" si="8"/>
        <v>0.55720000000000003</v>
      </c>
      <c r="P18" s="121">
        <f t="shared" si="8"/>
        <v>0.58939999999999992</v>
      </c>
      <c r="Q18" s="121">
        <f t="shared" si="9"/>
        <v>0.59699999999999998</v>
      </c>
      <c r="R18" s="121">
        <f t="shared" si="9"/>
        <v>0.63149999999999995</v>
      </c>
      <c r="S18" s="118" t="s">
        <v>115</v>
      </c>
    </row>
    <row r="19" spans="1:38">
      <c r="A19" s="117">
        <v>61004</v>
      </c>
      <c r="B19" s="117" t="s">
        <v>112</v>
      </c>
      <c r="C19" s="117" t="s">
        <v>116</v>
      </c>
      <c r="D19" s="117" t="s">
        <v>101</v>
      </c>
      <c r="E19" s="117" t="s">
        <v>117</v>
      </c>
      <c r="F19" s="117" t="s">
        <v>114</v>
      </c>
      <c r="G19" s="121">
        <v>0.42399999999999999</v>
      </c>
      <c r="H19" s="121">
        <v>0.42599999999999999</v>
      </c>
      <c r="I19" s="121">
        <f t="shared" si="5"/>
        <v>0.46640000000000004</v>
      </c>
      <c r="J19" s="121">
        <f t="shared" si="5"/>
        <v>0.46860000000000002</v>
      </c>
      <c r="K19" s="121">
        <f t="shared" si="6"/>
        <v>0.53</v>
      </c>
      <c r="L19" s="121">
        <f t="shared" si="6"/>
        <v>0.53249999999999997</v>
      </c>
      <c r="M19" s="121">
        <f t="shared" si="7"/>
        <v>0.55120000000000002</v>
      </c>
      <c r="N19" s="121">
        <f t="shared" si="7"/>
        <v>0.55379999999999996</v>
      </c>
      <c r="O19" s="121">
        <f t="shared" si="8"/>
        <v>0.59359999999999991</v>
      </c>
      <c r="P19" s="121">
        <f t="shared" si="8"/>
        <v>0.59639999999999993</v>
      </c>
      <c r="Q19" s="121">
        <f t="shared" si="9"/>
        <v>0.63600000000000001</v>
      </c>
      <c r="R19" s="121">
        <f t="shared" si="9"/>
        <v>0.63900000000000001</v>
      </c>
      <c r="S19" s="118" t="s">
        <v>118</v>
      </c>
    </row>
    <row r="20" spans="1:38">
      <c r="A20" s="117">
        <v>61005</v>
      </c>
      <c r="B20" s="117" t="s">
        <v>116</v>
      </c>
      <c r="C20" s="117" t="s">
        <v>119</v>
      </c>
      <c r="D20" s="117" t="s">
        <v>117</v>
      </c>
      <c r="E20" s="117" t="s">
        <v>108</v>
      </c>
      <c r="F20" s="117" t="s">
        <v>114</v>
      </c>
      <c r="G20" s="121">
        <v>0.44700000000000001</v>
      </c>
      <c r="H20" s="121">
        <v>0.46</v>
      </c>
      <c r="I20" s="121">
        <f t="shared" si="5"/>
        <v>0.49170000000000003</v>
      </c>
      <c r="J20" s="121">
        <f t="shared" si="5"/>
        <v>0.50600000000000012</v>
      </c>
      <c r="K20" s="121">
        <f t="shared" si="6"/>
        <v>0.55874999999999997</v>
      </c>
      <c r="L20" s="121">
        <f t="shared" si="6"/>
        <v>0.57500000000000007</v>
      </c>
      <c r="M20" s="121">
        <f t="shared" si="7"/>
        <v>0.58110000000000006</v>
      </c>
      <c r="N20" s="121">
        <f t="shared" si="7"/>
        <v>0.59800000000000009</v>
      </c>
      <c r="O20" s="121">
        <f t="shared" si="8"/>
        <v>0.62580000000000002</v>
      </c>
      <c r="P20" s="121">
        <f t="shared" si="8"/>
        <v>0.64400000000000002</v>
      </c>
      <c r="Q20" s="121">
        <f t="shared" si="9"/>
        <v>0.67049999999999998</v>
      </c>
      <c r="R20" s="121">
        <f t="shared" si="9"/>
        <v>0.69000000000000006</v>
      </c>
      <c r="S20" s="118" t="s">
        <v>120</v>
      </c>
    </row>
    <row r="21" spans="1:38">
      <c r="A21" s="117">
        <v>61006</v>
      </c>
      <c r="B21" s="117" t="s">
        <v>119</v>
      </c>
      <c r="C21" s="117" t="s">
        <v>121</v>
      </c>
      <c r="D21" s="117" t="s">
        <v>108</v>
      </c>
      <c r="E21" s="117" t="s">
        <v>122</v>
      </c>
      <c r="F21" s="117" t="s">
        <v>114</v>
      </c>
      <c r="G21" s="121">
        <v>0.46200000000000002</v>
      </c>
      <c r="H21" s="121">
        <v>0.48199999999999998</v>
      </c>
      <c r="I21" s="121">
        <f t="shared" si="5"/>
        <v>0.5082000000000001</v>
      </c>
      <c r="J21" s="121">
        <f t="shared" si="5"/>
        <v>0.5302</v>
      </c>
      <c r="K21" s="121">
        <f t="shared" si="6"/>
        <v>0.57750000000000001</v>
      </c>
      <c r="L21" s="121">
        <f t="shared" si="6"/>
        <v>0.60250000000000004</v>
      </c>
      <c r="M21" s="121">
        <f t="shared" si="7"/>
        <v>0.60060000000000002</v>
      </c>
      <c r="N21" s="121">
        <f t="shared" si="7"/>
        <v>0.62660000000000005</v>
      </c>
      <c r="O21" s="121">
        <f t="shared" si="8"/>
        <v>0.64680000000000004</v>
      </c>
      <c r="P21" s="121">
        <f t="shared" si="8"/>
        <v>0.67479999999999996</v>
      </c>
      <c r="Q21" s="121">
        <f t="shared" si="9"/>
        <v>0.69300000000000006</v>
      </c>
      <c r="R21" s="121">
        <f t="shared" si="9"/>
        <v>0.72299999999999998</v>
      </c>
      <c r="S21" s="118" t="s">
        <v>123</v>
      </c>
      <c r="AL21" s="108" t="s">
        <v>459</v>
      </c>
    </row>
    <row r="22" spans="1:38" ht="21" customHeight="1">
      <c r="A22" s="117">
        <v>61007</v>
      </c>
      <c r="B22" s="117" t="s">
        <v>121</v>
      </c>
      <c r="C22" s="117" t="s">
        <v>124</v>
      </c>
      <c r="D22" s="117" t="s">
        <v>122</v>
      </c>
      <c r="E22" s="117" t="s">
        <v>125</v>
      </c>
      <c r="F22" s="117" t="s">
        <v>114</v>
      </c>
      <c r="G22" s="121">
        <v>0.48099999999999998</v>
      </c>
      <c r="H22" s="121">
        <v>0.5</v>
      </c>
      <c r="I22" s="121">
        <f t="shared" si="5"/>
        <v>0.52910000000000001</v>
      </c>
      <c r="J22" s="121">
        <f t="shared" si="5"/>
        <v>0.55000000000000004</v>
      </c>
      <c r="K22" s="121">
        <f t="shared" si="6"/>
        <v>0.60124999999999995</v>
      </c>
      <c r="L22" s="121">
        <f t="shared" si="6"/>
        <v>0.625</v>
      </c>
      <c r="M22" s="121">
        <f t="shared" si="7"/>
        <v>0.62529999999999997</v>
      </c>
      <c r="N22" s="121">
        <f t="shared" si="7"/>
        <v>0.65</v>
      </c>
      <c r="O22" s="121">
        <f t="shared" si="8"/>
        <v>0.67339999999999989</v>
      </c>
      <c r="P22" s="121">
        <f t="shared" si="8"/>
        <v>0.7</v>
      </c>
      <c r="Q22" s="121">
        <f t="shared" si="9"/>
        <v>0.72150000000000003</v>
      </c>
      <c r="R22" s="121">
        <f t="shared" si="9"/>
        <v>0.75</v>
      </c>
      <c r="S22" s="118" t="s">
        <v>126</v>
      </c>
    </row>
    <row r="24" spans="1:38">
      <c r="A24" s="117" t="s">
        <v>103</v>
      </c>
      <c r="B24" s="117"/>
      <c r="C24" s="117"/>
      <c r="D24" s="117"/>
      <c r="E24" s="117"/>
      <c r="F24" s="117"/>
      <c r="H24" s="117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38">
      <c r="A25" s="119" t="s">
        <v>127</v>
      </c>
      <c r="G25" s="118"/>
    </row>
    <row r="26" spans="1:38">
      <c r="A26" s="117">
        <v>2229</v>
      </c>
      <c r="B26" s="117" t="s">
        <v>128</v>
      </c>
      <c r="C26" s="117" t="s">
        <v>128</v>
      </c>
      <c r="D26" s="117" t="s">
        <v>129</v>
      </c>
      <c r="E26" s="117" t="s">
        <v>129</v>
      </c>
      <c r="F26" s="117" t="s">
        <v>130</v>
      </c>
      <c r="G26" s="121">
        <v>0.3</v>
      </c>
      <c r="H26" s="121">
        <v>0.3</v>
      </c>
      <c r="I26" s="121">
        <f t="shared" ref="I26:J57" si="10">$I$6*G26</f>
        <v>0.33</v>
      </c>
      <c r="J26" s="121">
        <f t="shared" si="10"/>
        <v>0.33</v>
      </c>
      <c r="K26" s="121">
        <f t="shared" ref="K26:L57" si="11">$K$6*G26</f>
        <v>0.375</v>
      </c>
      <c r="L26" s="121">
        <f t="shared" si="11"/>
        <v>0.375</v>
      </c>
      <c r="M26" s="121">
        <f t="shared" ref="M26:N57" si="12">$M$6*G26</f>
        <v>0.39</v>
      </c>
      <c r="N26" s="121">
        <f t="shared" si="12"/>
        <v>0.39</v>
      </c>
      <c r="O26" s="121">
        <f t="shared" ref="O26:P57" si="13">$O$6*G26</f>
        <v>0.42</v>
      </c>
      <c r="P26" s="121">
        <f t="shared" si="13"/>
        <v>0.42</v>
      </c>
      <c r="Q26" s="121">
        <f t="shared" ref="Q26:R57" si="14">$Q$6*G26</f>
        <v>0.44999999999999996</v>
      </c>
      <c r="R26" s="121">
        <f t="shared" si="14"/>
        <v>0.44999999999999996</v>
      </c>
      <c r="S26" s="122" t="s">
        <v>131</v>
      </c>
    </row>
    <row r="27" spans="1:38">
      <c r="A27" s="117">
        <v>2230</v>
      </c>
      <c r="B27" s="117" t="s">
        <v>160</v>
      </c>
      <c r="C27" s="117" t="s">
        <v>160</v>
      </c>
      <c r="D27" s="117" t="s">
        <v>109</v>
      </c>
      <c r="E27" s="117" t="s">
        <v>109</v>
      </c>
      <c r="F27" s="117" t="s">
        <v>114</v>
      </c>
      <c r="G27" s="121">
        <v>0.30199999999999999</v>
      </c>
      <c r="H27" s="121">
        <v>0.30199999999999999</v>
      </c>
      <c r="I27" s="121">
        <f t="shared" si="10"/>
        <v>0.3322</v>
      </c>
      <c r="J27" s="121">
        <f t="shared" si="10"/>
        <v>0.3322</v>
      </c>
      <c r="K27" s="121">
        <f t="shared" si="11"/>
        <v>0.3775</v>
      </c>
      <c r="L27" s="121">
        <f t="shared" si="11"/>
        <v>0.3775</v>
      </c>
      <c r="M27" s="121">
        <f t="shared" si="12"/>
        <v>0.3926</v>
      </c>
      <c r="N27" s="121">
        <f t="shared" si="12"/>
        <v>0.3926</v>
      </c>
      <c r="O27" s="121">
        <f t="shared" si="13"/>
        <v>0.42279999999999995</v>
      </c>
      <c r="P27" s="121">
        <f t="shared" si="13"/>
        <v>0.42279999999999995</v>
      </c>
      <c r="Q27" s="121">
        <f t="shared" si="14"/>
        <v>0.45299999999999996</v>
      </c>
      <c r="R27" s="121">
        <f t="shared" si="14"/>
        <v>0.45299999999999996</v>
      </c>
      <c r="S27" s="122" t="s">
        <v>131</v>
      </c>
    </row>
    <row r="28" spans="1:38">
      <c r="A28" s="117">
        <v>2231</v>
      </c>
      <c r="B28" s="117" t="s">
        <v>294</v>
      </c>
      <c r="C28" s="117" t="s">
        <v>294</v>
      </c>
      <c r="D28" s="117" t="s">
        <v>467</v>
      </c>
      <c r="E28" s="117" t="s">
        <v>467</v>
      </c>
      <c r="F28" s="117" t="s">
        <v>114</v>
      </c>
      <c r="G28" s="121">
        <v>0.313</v>
      </c>
      <c r="H28" s="121">
        <v>0.313</v>
      </c>
      <c r="I28" s="121">
        <f t="shared" si="10"/>
        <v>0.34430000000000005</v>
      </c>
      <c r="J28" s="121">
        <f t="shared" si="10"/>
        <v>0.34430000000000005</v>
      </c>
      <c r="K28" s="121">
        <f t="shared" si="11"/>
        <v>0.39124999999999999</v>
      </c>
      <c r="L28" s="121">
        <f t="shared" si="11"/>
        <v>0.39124999999999999</v>
      </c>
      <c r="M28" s="121">
        <f t="shared" si="12"/>
        <v>0.40690000000000004</v>
      </c>
      <c r="N28" s="121">
        <f t="shared" si="12"/>
        <v>0.40690000000000004</v>
      </c>
      <c r="O28" s="121">
        <f t="shared" si="13"/>
        <v>0.43819999999999998</v>
      </c>
      <c r="P28" s="121">
        <f t="shared" si="13"/>
        <v>0.43819999999999998</v>
      </c>
      <c r="Q28" s="121">
        <f t="shared" si="14"/>
        <v>0.46950000000000003</v>
      </c>
      <c r="R28" s="121">
        <f t="shared" si="14"/>
        <v>0.46950000000000003</v>
      </c>
      <c r="S28" s="122" t="s">
        <v>135</v>
      </c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38">
      <c r="A29" s="117">
        <v>2232</v>
      </c>
      <c r="B29" s="117" t="s">
        <v>40</v>
      </c>
      <c r="C29" s="117" t="s">
        <v>40</v>
      </c>
      <c r="D29" s="117" t="s">
        <v>300</v>
      </c>
      <c r="E29" s="117" t="s">
        <v>300</v>
      </c>
      <c r="F29" s="117" t="s">
        <v>114</v>
      </c>
      <c r="G29" s="121">
        <v>0.36</v>
      </c>
      <c r="H29" s="121">
        <v>0.36</v>
      </c>
      <c r="I29" s="121">
        <f t="shared" si="10"/>
        <v>0.39600000000000002</v>
      </c>
      <c r="J29" s="121">
        <f t="shared" si="10"/>
        <v>0.39600000000000002</v>
      </c>
      <c r="K29" s="121">
        <f t="shared" si="11"/>
        <v>0.44999999999999996</v>
      </c>
      <c r="L29" s="121">
        <f t="shared" si="11"/>
        <v>0.44999999999999996</v>
      </c>
      <c r="M29" s="121">
        <f t="shared" si="12"/>
        <v>0.46799999999999997</v>
      </c>
      <c r="N29" s="121">
        <f t="shared" si="12"/>
        <v>0.46799999999999997</v>
      </c>
      <c r="O29" s="121">
        <f t="shared" si="13"/>
        <v>0.504</v>
      </c>
      <c r="P29" s="121">
        <f t="shared" si="13"/>
        <v>0.504</v>
      </c>
      <c r="Q29" s="121">
        <f t="shared" si="14"/>
        <v>0.54</v>
      </c>
      <c r="R29" s="121">
        <f t="shared" si="14"/>
        <v>0.54</v>
      </c>
      <c r="S29" s="122" t="s">
        <v>131</v>
      </c>
      <c r="T29" s="117"/>
      <c r="U29" s="117"/>
      <c r="V29" s="117"/>
      <c r="W29" s="117"/>
      <c r="X29" s="117"/>
      <c r="Y29" s="117"/>
      <c r="Z29" s="117"/>
      <c r="AA29" s="117"/>
      <c r="AB29" s="117"/>
    </row>
    <row r="30" spans="1:38">
      <c r="A30" s="117">
        <v>2233</v>
      </c>
      <c r="B30" s="117" t="s">
        <v>122</v>
      </c>
      <c r="C30" s="117" t="s">
        <v>122</v>
      </c>
      <c r="D30" s="117" t="s">
        <v>468</v>
      </c>
      <c r="E30" s="117" t="s">
        <v>468</v>
      </c>
      <c r="F30" s="117" t="s">
        <v>114</v>
      </c>
      <c r="G30" s="121">
        <v>0.37</v>
      </c>
      <c r="H30" s="121">
        <v>0.37</v>
      </c>
      <c r="I30" s="121">
        <f t="shared" si="10"/>
        <v>0.40700000000000003</v>
      </c>
      <c r="J30" s="121">
        <f t="shared" si="10"/>
        <v>0.40700000000000003</v>
      </c>
      <c r="K30" s="121">
        <f t="shared" si="11"/>
        <v>0.46250000000000002</v>
      </c>
      <c r="L30" s="121">
        <f t="shared" si="11"/>
        <v>0.46250000000000002</v>
      </c>
      <c r="M30" s="121">
        <f t="shared" si="12"/>
        <v>0.48099999999999998</v>
      </c>
      <c r="N30" s="121">
        <f t="shared" si="12"/>
        <v>0.48099999999999998</v>
      </c>
      <c r="O30" s="121">
        <f t="shared" si="13"/>
        <v>0.51800000000000002</v>
      </c>
      <c r="P30" s="121">
        <f t="shared" si="13"/>
        <v>0.51800000000000002</v>
      </c>
      <c r="Q30" s="121">
        <f t="shared" si="14"/>
        <v>0.55499999999999994</v>
      </c>
      <c r="R30" s="121">
        <f t="shared" si="14"/>
        <v>0.55499999999999994</v>
      </c>
      <c r="S30" s="122" t="s">
        <v>136</v>
      </c>
      <c r="T30" s="117"/>
      <c r="U30" s="117"/>
      <c r="V30" s="117"/>
      <c r="W30" s="117"/>
      <c r="X30" s="117"/>
      <c r="Y30" s="117"/>
      <c r="Z30" s="117"/>
      <c r="AA30" s="117"/>
      <c r="AB30" s="117"/>
    </row>
    <row r="31" spans="1:38">
      <c r="A31" s="117">
        <v>2234</v>
      </c>
      <c r="B31" s="117" t="s">
        <v>134</v>
      </c>
      <c r="C31" s="117" t="s">
        <v>134</v>
      </c>
      <c r="D31" s="117" t="s">
        <v>113</v>
      </c>
      <c r="E31" s="117" t="s">
        <v>113</v>
      </c>
      <c r="F31" s="117" t="s">
        <v>114</v>
      </c>
      <c r="G31" s="121">
        <v>0.38800000000000001</v>
      </c>
      <c r="H31" s="121">
        <v>0.38800000000000001</v>
      </c>
      <c r="I31" s="121">
        <f t="shared" si="10"/>
        <v>0.42680000000000007</v>
      </c>
      <c r="J31" s="121">
        <f t="shared" si="10"/>
        <v>0.42680000000000007</v>
      </c>
      <c r="K31" s="121">
        <f t="shared" si="11"/>
        <v>0.48499999999999999</v>
      </c>
      <c r="L31" s="121">
        <f t="shared" si="11"/>
        <v>0.48499999999999999</v>
      </c>
      <c r="M31" s="121">
        <f t="shared" si="12"/>
        <v>0.50440000000000007</v>
      </c>
      <c r="N31" s="121">
        <f t="shared" si="12"/>
        <v>0.50440000000000007</v>
      </c>
      <c r="O31" s="121">
        <f t="shared" si="13"/>
        <v>0.54320000000000002</v>
      </c>
      <c r="P31" s="121">
        <f t="shared" si="13"/>
        <v>0.54320000000000002</v>
      </c>
      <c r="Q31" s="121">
        <f t="shared" si="14"/>
        <v>0.58200000000000007</v>
      </c>
      <c r="R31" s="121">
        <f t="shared" si="14"/>
        <v>0.58200000000000007</v>
      </c>
      <c r="S31" s="122" t="s">
        <v>137</v>
      </c>
      <c r="T31" s="117"/>
      <c r="U31" s="117"/>
      <c r="V31" s="117"/>
      <c r="W31" s="117"/>
      <c r="X31" s="117"/>
      <c r="Y31" s="117"/>
      <c r="Z31" s="117"/>
      <c r="AA31" s="117"/>
      <c r="AB31" s="117"/>
    </row>
    <row r="32" spans="1:38">
      <c r="A32" s="117">
        <v>2235</v>
      </c>
      <c r="B32" s="117" t="s">
        <v>40</v>
      </c>
      <c r="C32" s="117" t="s">
        <v>40</v>
      </c>
      <c r="D32" s="117" t="s">
        <v>202</v>
      </c>
      <c r="E32" s="117" t="s">
        <v>202</v>
      </c>
      <c r="F32" s="117" t="s">
        <v>114</v>
      </c>
      <c r="G32" s="121">
        <v>0.374</v>
      </c>
      <c r="H32" s="121">
        <v>0.374</v>
      </c>
      <c r="I32" s="121">
        <f t="shared" si="10"/>
        <v>0.41140000000000004</v>
      </c>
      <c r="J32" s="121">
        <f t="shared" si="10"/>
        <v>0.41140000000000004</v>
      </c>
      <c r="K32" s="121">
        <f t="shared" si="11"/>
        <v>0.46750000000000003</v>
      </c>
      <c r="L32" s="121">
        <f t="shared" si="11"/>
        <v>0.46750000000000003</v>
      </c>
      <c r="M32" s="121">
        <f t="shared" si="12"/>
        <v>0.48620000000000002</v>
      </c>
      <c r="N32" s="121">
        <f t="shared" si="12"/>
        <v>0.48620000000000002</v>
      </c>
      <c r="O32" s="121">
        <f t="shared" si="13"/>
        <v>0.52359999999999995</v>
      </c>
      <c r="P32" s="121">
        <f t="shared" si="13"/>
        <v>0.52359999999999995</v>
      </c>
      <c r="Q32" s="121">
        <f t="shared" si="14"/>
        <v>0.56099999999999994</v>
      </c>
      <c r="R32" s="121">
        <f t="shared" si="14"/>
        <v>0.56099999999999994</v>
      </c>
      <c r="S32" s="122" t="s">
        <v>139</v>
      </c>
    </row>
    <row r="33" spans="1:28" ht="20" customHeight="1">
      <c r="A33" s="117">
        <v>2236</v>
      </c>
      <c r="B33" s="117" t="s">
        <v>125</v>
      </c>
      <c r="C33" s="117" t="s">
        <v>125</v>
      </c>
      <c r="D33" s="117" t="s">
        <v>133</v>
      </c>
      <c r="E33" s="117" t="s">
        <v>133</v>
      </c>
      <c r="F33" s="117" t="s">
        <v>114</v>
      </c>
      <c r="G33" s="121">
        <v>0.33900000000000002</v>
      </c>
      <c r="H33" s="121">
        <v>0.33900000000000002</v>
      </c>
      <c r="I33" s="121">
        <f t="shared" si="10"/>
        <v>0.37290000000000006</v>
      </c>
      <c r="J33" s="121">
        <f t="shared" si="10"/>
        <v>0.37290000000000006</v>
      </c>
      <c r="K33" s="121">
        <f t="shared" si="11"/>
        <v>0.42375000000000002</v>
      </c>
      <c r="L33" s="121">
        <f t="shared" si="11"/>
        <v>0.42375000000000002</v>
      </c>
      <c r="M33" s="121">
        <f t="shared" si="12"/>
        <v>0.44070000000000004</v>
      </c>
      <c r="N33" s="121">
        <f t="shared" si="12"/>
        <v>0.44070000000000004</v>
      </c>
      <c r="O33" s="121">
        <f t="shared" si="13"/>
        <v>0.47460000000000002</v>
      </c>
      <c r="P33" s="121">
        <f t="shared" si="13"/>
        <v>0.47460000000000002</v>
      </c>
      <c r="Q33" s="121">
        <f t="shared" si="14"/>
        <v>0.50850000000000006</v>
      </c>
      <c r="R33" s="121">
        <f t="shared" si="14"/>
        <v>0.50850000000000006</v>
      </c>
      <c r="S33" s="122" t="s">
        <v>142</v>
      </c>
    </row>
    <row r="34" spans="1:28">
      <c r="A34" s="117">
        <v>2237</v>
      </c>
      <c r="B34" s="117" t="s">
        <v>125</v>
      </c>
      <c r="C34" s="117" t="s">
        <v>125</v>
      </c>
      <c r="D34" s="117" t="s">
        <v>159</v>
      </c>
      <c r="E34" s="117" t="s">
        <v>159</v>
      </c>
      <c r="F34" s="117" t="s">
        <v>114</v>
      </c>
      <c r="G34" s="121">
        <v>0.42299999999999999</v>
      </c>
      <c r="H34" s="121">
        <v>0.42299999999999999</v>
      </c>
      <c r="I34" s="121">
        <f t="shared" si="10"/>
        <v>0.46530000000000005</v>
      </c>
      <c r="J34" s="121">
        <f t="shared" si="10"/>
        <v>0.46530000000000005</v>
      </c>
      <c r="K34" s="121">
        <f t="shared" si="11"/>
        <v>0.52874999999999994</v>
      </c>
      <c r="L34" s="121">
        <f t="shared" si="11"/>
        <v>0.52874999999999994</v>
      </c>
      <c r="M34" s="121">
        <f t="shared" si="12"/>
        <v>0.54990000000000006</v>
      </c>
      <c r="N34" s="121">
        <f t="shared" si="12"/>
        <v>0.54990000000000006</v>
      </c>
      <c r="O34" s="121">
        <f t="shared" si="13"/>
        <v>0.59219999999999995</v>
      </c>
      <c r="P34" s="121">
        <f t="shared" si="13"/>
        <v>0.59219999999999995</v>
      </c>
      <c r="Q34" s="121">
        <f t="shared" si="14"/>
        <v>0.63449999999999995</v>
      </c>
      <c r="R34" s="121">
        <f t="shared" si="14"/>
        <v>0.63449999999999995</v>
      </c>
      <c r="S34" s="122" t="s">
        <v>143</v>
      </c>
    </row>
    <row r="35" spans="1:28">
      <c r="A35" s="117">
        <v>2238</v>
      </c>
      <c r="B35" s="117" t="s">
        <v>134</v>
      </c>
      <c r="C35" s="117" t="s">
        <v>134</v>
      </c>
      <c r="D35" s="117" t="s">
        <v>133</v>
      </c>
      <c r="E35" s="117" t="s">
        <v>133</v>
      </c>
      <c r="F35" s="117" t="s">
        <v>114</v>
      </c>
      <c r="G35" s="121">
        <v>0.31900000000000001</v>
      </c>
      <c r="H35" s="121">
        <v>0.31900000000000001</v>
      </c>
      <c r="I35" s="121">
        <f t="shared" si="10"/>
        <v>0.35090000000000005</v>
      </c>
      <c r="J35" s="121">
        <f t="shared" si="10"/>
        <v>0.35090000000000005</v>
      </c>
      <c r="K35" s="121">
        <f t="shared" si="11"/>
        <v>0.39874999999999999</v>
      </c>
      <c r="L35" s="121">
        <f t="shared" si="11"/>
        <v>0.39874999999999999</v>
      </c>
      <c r="M35" s="121">
        <f t="shared" si="12"/>
        <v>0.41470000000000001</v>
      </c>
      <c r="N35" s="121">
        <f t="shared" si="12"/>
        <v>0.41470000000000001</v>
      </c>
      <c r="O35" s="121">
        <f t="shared" si="13"/>
        <v>0.4466</v>
      </c>
      <c r="P35" s="121">
        <f t="shared" si="13"/>
        <v>0.4466</v>
      </c>
      <c r="Q35" s="121">
        <f t="shared" si="14"/>
        <v>0.47850000000000004</v>
      </c>
      <c r="R35" s="121">
        <f t="shared" si="14"/>
        <v>0.47850000000000004</v>
      </c>
      <c r="S35" s="122" t="s">
        <v>142</v>
      </c>
    </row>
    <row r="36" spans="1:28">
      <c r="A36" s="117">
        <v>2239</v>
      </c>
      <c r="B36" s="117" t="s">
        <v>111</v>
      </c>
      <c r="C36" s="117" t="s">
        <v>111</v>
      </c>
      <c r="D36" s="117" t="s">
        <v>345</v>
      </c>
      <c r="E36" s="117" t="s">
        <v>345</v>
      </c>
      <c r="F36" s="117" t="s">
        <v>114</v>
      </c>
      <c r="G36" s="121">
        <v>0.376</v>
      </c>
      <c r="H36" s="121">
        <v>0.376</v>
      </c>
      <c r="I36" s="121">
        <f t="shared" si="10"/>
        <v>0.41360000000000002</v>
      </c>
      <c r="J36" s="121">
        <f t="shared" si="10"/>
        <v>0.41360000000000002</v>
      </c>
      <c r="K36" s="121">
        <f t="shared" si="11"/>
        <v>0.47</v>
      </c>
      <c r="L36" s="121">
        <f t="shared" si="11"/>
        <v>0.47</v>
      </c>
      <c r="M36" s="121">
        <f t="shared" si="12"/>
        <v>0.48880000000000001</v>
      </c>
      <c r="N36" s="121">
        <f t="shared" si="12"/>
        <v>0.48880000000000001</v>
      </c>
      <c r="O36" s="121">
        <f t="shared" si="13"/>
        <v>0.52639999999999998</v>
      </c>
      <c r="P36" s="121">
        <f t="shared" si="13"/>
        <v>0.52639999999999998</v>
      </c>
      <c r="Q36" s="121">
        <f t="shared" si="14"/>
        <v>0.56400000000000006</v>
      </c>
      <c r="R36" s="121">
        <f t="shared" si="14"/>
        <v>0.56400000000000006</v>
      </c>
      <c r="S36" s="122" t="s">
        <v>136</v>
      </c>
    </row>
    <row r="37" spans="1:28" s="146" customFormat="1" ht="17">
      <c r="A37" s="146">
        <v>2240</v>
      </c>
      <c r="B37" s="146" t="s">
        <v>146</v>
      </c>
      <c r="C37" s="146" t="s">
        <v>146</v>
      </c>
      <c r="D37" s="146" t="s">
        <v>141</v>
      </c>
      <c r="E37" s="146" t="s">
        <v>141</v>
      </c>
      <c r="F37" s="146" t="s">
        <v>114</v>
      </c>
      <c r="G37" s="146">
        <v>0.43</v>
      </c>
      <c r="H37" s="146">
        <v>0.43</v>
      </c>
      <c r="I37" s="146">
        <f t="shared" si="10"/>
        <v>0.47300000000000003</v>
      </c>
      <c r="J37" s="146">
        <f t="shared" si="10"/>
        <v>0.47300000000000003</v>
      </c>
      <c r="K37" s="146">
        <f t="shared" si="11"/>
        <v>0.53749999999999998</v>
      </c>
      <c r="L37" s="146">
        <f t="shared" si="11"/>
        <v>0.53749999999999998</v>
      </c>
      <c r="M37" s="146">
        <f t="shared" si="12"/>
        <v>0.55900000000000005</v>
      </c>
      <c r="N37" s="146">
        <f t="shared" si="12"/>
        <v>0.55900000000000005</v>
      </c>
      <c r="O37" s="146">
        <f t="shared" si="13"/>
        <v>0.60199999999999998</v>
      </c>
      <c r="P37" s="146">
        <f t="shared" si="13"/>
        <v>0.60199999999999998</v>
      </c>
      <c r="Q37" s="146">
        <f t="shared" si="14"/>
        <v>0.64500000000000002</v>
      </c>
      <c r="R37" s="146">
        <f t="shared" si="14"/>
        <v>0.64500000000000002</v>
      </c>
      <c r="S37" s="146" t="s">
        <v>137</v>
      </c>
    </row>
    <row r="38" spans="1:28">
      <c r="A38" s="117">
        <v>2241</v>
      </c>
      <c r="B38" s="117" t="s">
        <v>146</v>
      </c>
      <c r="C38" s="117" t="s">
        <v>146</v>
      </c>
      <c r="D38" s="117" t="s">
        <v>300</v>
      </c>
      <c r="E38" s="117" t="s">
        <v>300</v>
      </c>
      <c r="F38" s="117" t="s">
        <v>114</v>
      </c>
      <c r="G38" s="121">
        <v>0.39</v>
      </c>
      <c r="H38" s="121">
        <v>0.39</v>
      </c>
      <c r="I38" s="121">
        <f t="shared" si="10"/>
        <v>0.42900000000000005</v>
      </c>
      <c r="J38" s="121">
        <f t="shared" si="10"/>
        <v>0.42900000000000005</v>
      </c>
      <c r="K38" s="121">
        <f t="shared" si="11"/>
        <v>0.48750000000000004</v>
      </c>
      <c r="L38" s="121">
        <f t="shared" si="11"/>
        <v>0.48750000000000004</v>
      </c>
      <c r="M38" s="121">
        <f t="shared" si="12"/>
        <v>0.50700000000000001</v>
      </c>
      <c r="N38" s="121">
        <f t="shared" si="12"/>
        <v>0.50700000000000001</v>
      </c>
      <c r="O38" s="121">
        <f t="shared" si="13"/>
        <v>0.54599999999999993</v>
      </c>
      <c r="P38" s="121">
        <f t="shared" si="13"/>
        <v>0.54599999999999993</v>
      </c>
      <c r="Q38" s="121">
        <f t="shared" si="14"/>
        <v>0.58499999999999996</v>
      </c>
      <c r="R38" s="121">
        <f t="shared" si="14"/>
        <v>0.58499999999999996</v>
      </c>
      <c r="S38" s="122" t="s">
        <v>148</v>
      </c>
      <c r="T38" s="117"/>
      <c r="U38" s="117"/>
      <c r="V38" s="117"/>
      <c r="W38" s="117"/>
      <c r="X38" s="117"/>
      <c r="Y38" s="117"/>
      <c r="Z38" s="117"/>
      <c r="AA38" s="117"/>
      <c r="AB38" s="117"/>
    </row>
    <row r="39" spans="1:28">
      <c r="A39" s="117">
        <v>2242</v>
      </c>
      <c r="B39" s="117" t="s">
        <v>119</v>
      </c>
      <c r="C39" s="117" t="s">
        <v>119</v>
      </c>
      <c r="D39" s="117" t="s">
        <v>141</v>
      </c>
      <c r="E39" s="117" t="s">
        <v>141</v>
      </c>
      <c r="F39" s="117" t="s">
        <v>114</v>
      </c>
      <c r="G39" s="121">
        <v>0.39200000000000002</v>
      </c>
      <c r="H39" s="121">
        <v>0.39200000000000002</v>
      </c>
      <c r="I39" s="121">
        <f t="shared" si="10"/>
        <v>0.43120000000000003</v>
      </c>
      <c r="J39" s="121">
        <f t="shared" si="10"/>
        <v>0.43120000000000003</v>
      </c>
      <c r="K39" s="121">
        <f t="shared" si="11"/>
        <v>0.49</v>
      </c>
      <c r="L39" s="121">
        <f t="shared" si="11"/>
        <v>0.49</v>
      </c>
      <c r="M39" s="121">
        <f t="shared" si="12"/>
        <v>0.50960000000000005</v>
      </c>
      <c r="N39" s="121">
        <f t="shared" si="12"/>
        <v>0.50960000000000005</v>
      </c>
      <c r="O39" s="121">
        <f t="shared" si="13"/>
        <v>0.54879999999999995</v>
      </c>
      <c r="P39" s="121">
        <f t="shared" si="13"/>
        <v>0.54879999999999995</v>
      </c>
      <c r="Q39" s="121">
        <f t="shared" si="14"/>
        <v>0.58800000000000008</v>
      </c>
      <c r="R39" s="121">
        <f t="shared" si="14"/>
        <v>0.58800000000000008</v>
      </c>
      <c r="S39" s="122" t="s">
        <v>148</v>
      </c>
      <c r="T39" s="117"/>
      <c r="U39" s="117"/>
      <c r="V39" s="117"/>
      <c r="W39" s="117"/>
      <c r="X39" s="117"/>
      <c r="Y39" s="117"/>
      <c r="Z39" s="117"/>
      <c r="AA39" s="117"/>
      <c r="AB39" s="117"/>
    </row>
    <row r="40" spans="1:28">
      <c r="A40" s="117">
        <v>2243</v>
      </c>
      <c r="B40" s="117" t="s">
        <v>121</v>
      </c>
      <c r="C40" s="117" t="s">
        <v>121</v>
      </c>
      <c r="D40" s="117" t="s">
        <v>144</v>
      </c>
      <c r="E40" s="117" t="s">
        <v>144</v>
      </c>
      <c r="F40" s="117" t="s">
        <v>130</v>
      </c>
      <c r="G40" s="121">
        <v>0.42399999999999999</v>
      </c>
      <c r="H40" s="121">
        <v>0.42399999999999999</v>
      </c>
      <c r="I40" s="121">
        <f t="shared" si="10"/>
        <v>0.46640000000000004</v>
      </c>
      <c r="J40" s="121">
        <f t="shared" si="10"/>
        <v>0.46640000000000004</v>
      </c>
      <c r="K40" s="121">
        <f t="shared" si="11"/>
        <v>0.53</v>
      </c>
      <c r="L40" s="121">
        <f t="shared" si="11"/>
        <v>0.53</v>
      </c>
      <c r="M40" s="121">
        <f t="shared" si="12"/>
        <v>0.55120000000000002</v>
      </c>
      <c r="N40" s="121">
        <f t="shared" si="12"/>
        <v>0.55120000000000002</v>
      </c>
      <c r="O40" s="121">
        <f t="shared" si="13"/>
        <v>0.59359999999999991</v>
      </c>
      <c r="P40" s="121">
        <f t="shared" si="13"/>
        <v>0.59359999999999991</v>
      </c>
      <c r="Q40" s="121">
        <f t="shared" si="14"/>
        <v>0.63600000000000001</v>
      </c>
      <c r="R40" s="121">
        <f t="shared" si="14"/>
        <v>0.63600000000000001</v>
      </c>
      <c r="S40" s="122" t="s">
        <v>148</v>
      </c>
      <c r="T40" s="117"/>
      <c r="U40" s="117"/>
      <c r="V40" s="117"/>
      <c r="W40" s="117"/>
      <c r="X40" s="117"/>
      <c r="Y40" s="117"/>
      <c r="Z40" s="117"/>
      <c r="AA40" s="117"/>
      <c r="AB40" s="117"/>
    </row>
    <row r="41" spans="1:28">
      <c r="A41" s="117">
        <v>2244</v>
      </c>
      <c r="B41" s="117" t="s">
        <v>149</v>
      </c>
      <c r="C41" s="117" t="s">
        <v>149</v>
      </c>
      <c r="D41" s="117" t="s">
        <v>144</v>
      </c>
      <c r="E41" s="117" t="s">
        <v>144</v>
      </c>
      <c r="F41" s="117" t="s">
        <v>130</v>
      </c>
      <c r="G41" s="121">
        <v>0.37</v>
      </c>
      <c r="H41" s="121">
        <v>0.37</v>
      </c>
      <c r="I41" s="121">
        <f t="shared" si="10"/>
        <v>0.40700000000000003</v>
      </c>
      <c r="J41" s="121">
        <f t="shared" si="10"/>
        <v>0.40700000000000003</v>
      </c>
      <c r="K41" s="121">
        <f t="shared" si="11"/>
        <v>0.46250000000000002</v>
      </c>
      <c r="L41" s="121">
        <f t="shared" si="11"/>
        <v>0.46250000000000002</v>
      </c>
      <c r="M41" s="121">
        <f t="shared" si="12"/>
        <v>0.48099999999999998</v>
      </c>
      <c r="N41" s="121">
        <f t="shared" si="12"/>
        <v>0.48099999999999998</v>
      </c>
      <c r="O41" s="121">
        <f t="shared" si="13"/>
        <v>0.51800000000000002</v>
      </c>
      <c r="P41" s="121">
        <f t="shared" si="13"/>
        <v>0.51800000000000002</v>
      </c>
      <c r="Q41" s="121">
        <f t="shared" si="14"/>
        <v>0.55499999999999994</v>
      </c>
      <c r="R41" s="121">
        <f t="shared" si="14"/>
        <v>0.55499999999999994</v>
      </c>
      <c r="S41" s="122" t="s">
        <v>150</v>
      </c>
      <c r="T41" s="117"/>
      <c r="U41" s="117"/>
      <c r="V41" s="117"/>
      <c r="W41" s="117"/>
      <c r="X41" s="117"/>
      <c r="Y41" s="117"/>
      <c r="Z41" s="117"/>
      <c r="AA41" s="117"/>
      <c r="AB41" s="117"/>
    </row>
    <row r="42" spans="1:28">
      <c r="A42" s="117">
        <v>2245</v>
      </c>
      <c r="B42" s="117" t="s">
        <v>151</v>
      </c>
      <c r="C42" s="117" t="s">
        <v>151</v>
      </c>
      <c r="D42" s="123" t="s">
        <v>152</v>
      </c>
      <c r="E42" s="123" t="s">
        <v>152</v>
      </c>
      <c r="F42" s="117" t="s">
        <v>130</v>
      </c>
      <c r="G42" s="121">
        <v>0.39300000000000002</v>
      </c>
      <c r="H42" s="121">
        <v>0.39300000000000002</v>
      </c>
      <c r="I42" s="121">
        <f t="shared" si="10"/>
        <v>0.43230000000000007</v>
      </c>
      <c r="J42" s="121">
        <f t="shared" si="10"/>
        <v>0.43230000000000007</v>
      </c>
      <c r="K42" s="121">
        <f t="shared" si="11"/>
        <v>0.49125000000000002</v>
      </c>
      <c r="L42" s="121">
        <f t="shared" si="11"/>
        <v>0.49125000000000002</v>
      </c>
      <c r="M42" s="121">
        <f t="shared" si="12"/>
        <v>0.51090000000000002</v>
      </c>
      <c r="N42" s="121">
        <f t="shared" si="12"/>
        <v>0.51090000000000002</v>
      </c>
      <c r="O42" s="121">
        <f t="shared" si="13"/>
        <v>0.55020000000000002</v>
      </c>
      <c r="P42" s="121">
        <f t="shared" si="13"/>
        <v>0.55020000000000002</v>
      </c>
      <c r="Q42" s="121">
        <f t="shared" si="14"/>
        <v>0.58950000000000002</v>
      </c>
      <c r="R42" s="121">
        <f t="shared" si="14"/>
        <v>0.58950000000000002</v>
      </c>
      <c r="S42" s="122" t="s">
        <v>153</v>
      </c>
      <c r="T42" s="117"/>
      <c r="U42" s="117"/>
      <c r="V42" s="117"/>
      <c r="W42" s="117"/>
      <c r="X42" s="117"/>
      <c r="Y42" s="117"/>
      <c r="Z42" s="117"/>
      <c r="AA42" s="117"/>
      <c r="AB42" s="117"/>
    </row>
    <row r="43" spans="1:28">
      <c r="A43" s="117">
        <v>2246</v>
      </c>
      <c r="B43" s="117" t="s">
        <v>151</v>
      </c>
      <c r="C43" s="117" t="s">
        <v>151</v>
      </c>
      <c r="D43" s="117" t="s">
        <v>128</v>
      </c>
      <c r="E43" s="117" t="s">
        <v>128</v>
      </c>
      <c r="F43" s="117" t="s">
        <v>130</v>
      </c>
      <c r="G43" s="121">
        <v>0.436</v>
      </c>
      <c r="H43" s="121">
        <v>0.436</v>
      </c>
      <c r="I43" s="121">
        <f t="shared" si="10"/>
        <v>0.47960000000000003</v>
      </c>
      <c r="J43" s="121">
        <f t="shared" si="10"/>
        <v>0.47960000000000003</v>
      </c>
      <c r="K43" s="121">
        <f t="shared" si="11"/>
        <v>0.54500000000000004</v>
      </c>
      <c r="L43" s="121">
        <f t="shared" si="11"/>
        <v>0.54500000000000004</v>
      </c>
      <c r="M43" s="121">
        <f t="shared" si="12"/>
        <v>0.56679999999999997</v>
      </c>
      <c r="N43" s="121">
        <f t="shared" si="12"/>
        <v>0.56679999999999997</v>
      </c>
      <c r="O43" s="121">
        <f t="shared" si="13"/>
        <v>0.61039999999999994</v>
      </c>
      <c r="P43" s="121">
        <f t="shared" si="13"/>
        <v>0.61039999999999994</v>
      </c>
      <c r="Q43" s="121">
        <f t="shared" si="14"/>
        <v>0.65400000000000003</v>
      </c>
      <c r="R43" s="121">
        <f t="shared" si="14"/>
        <v>0.65400000000000003</v>
      </c>
      <c r="S43" s="122" t="s">
        <v>150</v>
      </c>
      <c r="T43" s="117"/>
      <c r="U43" s="117"/>
      <c r="V43" s="117"/>
      <c r="W43" s="117"/>
      <c r="X43" s="117"/>
      <c r="Y43" s="117"/>
      <c r="Z43" s="117"/>
      <c r="AA43" s="117"/>
      <c r="AB43" s="117"/>
    </row>
    <row r="44" spans="1:28">
      <c r="A44" s="117">
        <v>2247</v>
      </c>
      <c r="B44" s="117" t="s">
        <v>154</v>
      </c>
      <c r="C44" s="117" t="s">
        <v>154</v>
      </c>
      <c r="D44" s="117" t="s">
        <v>140</v>
      </c>
      <c r="E44" s="117" t="s">
        <v>140</v>
      </c>
      <c r="F44" s="117" t="s">
        <v>130</v>
      </c>
      <c r="G44" s="121">
        <v>0.40799999999999997</v>
      </c>
      <c r="H44" s="121">
        <v>0.40799999999999997</v>
      </c>
      <c r="I44" s="121">
        <f t="shared" si="10"/>
        <v>0.44880000000000003</v>
      </c>
      <c r="J44" s="121">
        <f t="shared" si="10"/>
        <v>0.44880000000000003</v>
      </c>
      <c r="K44" s="121">
        <f t="shared" si="11"/>
        <v>0.51</v>
      </c>
      <c r="L44" s="121">
        <f t="shared" si="11"/>
        <v>0.51</v>
      </c>
      <c r="M44" s="121">
        <f t="shared" si="12"/>
        <v>0.53039999999999998</v>
      </c>
      <c r="N44" s="121">
        <f t="shared" si="12"/>
        <v>0.53039999999999998</v>
      </c>
      <c r="O44" s="121">
        <f t="shared" si="13"/>
        <v>0.57119999999999993</v>
      </c>
      <c r="P44" s="121">
        <f t="shared" si="13"/>
        <v>0.57119999999999993</v>
      </c>
      <c r="Q44" s="121">
        <f t="shared" si="14"/>
        <v>0.61199999999999999</v>
      </c>
      <c r="R44" s="121">
        <f t="shared" si="14"/>
        <v>0.61199999999999999</v>
      </c>
      <c r="S44" s="122" t="s">
        <v>150</v>
      </c>
      <c r="T44" s="117"/>
      <c r="U44" s="117"/>
      <c r="V44" s="117"/>
      <c r="W44" s="117"/>
      <c r="X44" s="117"/>
      <c r="Y44" s="117"/>
      <c r="Z44" s="117"/>
      <c r="AA44" s="117"/>
      <c r="AB44" s="117"/>
    </row>
    <row r="45" spans="1:28">
      <c r="A45" s="117">
        <v>2248</v>
      </c>
      <c r="B45" s="117" t="s">
        <v>155</v>
      </c>
      <c r="C45" s="117" t="s">
        <v>155</v>
      </c>
      <c r="D45" s="117" t="s">
        <v>111</v>
      </c>
      <c r="E45" s="117" t="s">
        <v>111</v>
      </c>
      <c r="F45" s="117" t="s">
        <v>130</v>
      </c>
      <c r="G45" s="121">
        <v>0.42599999999999999</v>
      </c>
      <c r="H45" s="121">
        <v>0.42599999999999999</v>
      </c>
      <c r="I45" s="121">
        <f t="shared" si="10"/>
        <v>0.46860000000000002</v>
      </c>
      <c r="J45" s="121">
        <f t="shared" si="10"/>
        <v>0.46860000000000002</v>
      </c>
      <c r="K45" s="121">
        <f t="shared" si="11"/>
        <v>0.53249999999999997</v>
      </c>
      <c r="L45" s="121">
        <f t="shared" si="11"/>
        <v>0.53249999999999997</v>
      </c>
      <c r="M45" s="121">
        <f t="shared" si="12"/>
        <v>0.55379999999999996</v>
      </c>
      <c r="N45" s="121">
        <f t="shared" si="12"/>
        <v>0.55379999999999996</v>
      </c>
      <c r="O45" s="121">
        <f t="shared" si="13"/>
        <v>0.59639999999999993</v>
      </c>
      <c r="P45" s="121">
        <f t="shared" si="13"/>
        <v>0.59639999999999993</v>
      </c>
      <c r="Q45" s="121">
        <f t="shared" si="14"/>
        <v>0.63900000000000001</v>
      </c>
      <c r="R45" s="121">
        <f t="shared" si="14"/>
        <v>0.63900000000000001</v>
      </c>
      <c r="S45" s="122" t="s">
        <v>150</v>
      </c>
      <c r="T45" s="117"/>
      <c r="U45" s="117"/>
      <c r="V45" s="117"/>
      <c r="W45" s="117"/>
      <c r="X45" s="117"/>
      <c r="Y45" s="117"/>
      <c r="Z45" s="117"/>
      <c r="AA45" s="117"/>
      <c r="AB45" s="117"/>
    </row>
    <row r="46" spans="1:28">
      <c r="A46" s="117">
        <v>2249</v>
      </c>
      <c r="B46" s="117" t="s">
        <v>156</v>
      </c>
      <c r="C46" s="117" t="s">
        <v>156</v>
      </c>
      <c r="D46" s="117" t="s">
        <v>125</v>
      </c>
      <c r="E46" s="117" t="s">
        <v>125</v>
      </c>
      <c r="F46" s="117" t="s">
        <v>130</v>
      </c>
      <c r="G46" s="121">
        <v>0.40500000000000003</v>
      </c>
      <c r="H46" s="121">
        <v>0.40500000000000003</v>
      </c>
      <c r="I46" s="121">
        <f t="shared" si="10"/>
        <v>0.44550000000000006</v>
      </c>
      <c r="J46" s="121">
        <f t="shared" si="10"/>
        <v>0.44550000000000006</v>
      </c>
      <c r="K46" s="121">
        <f t="shared" si="11"/>
        <v>0.50625000000000009</v>
      </c>
      <c r="L46" s="121">
        <f t="shared" si="11"/>
        <v>0.50625000000000009</v>
      </c>
      <c r="M46" s="121">
        <f t="shared" si="12"/>
        <v>0.52650000000000008</v>
      </c>
      <c r="N46" s="121">
        <f t="shared" si="12"/>
        <v>0.52650000000000008</v>
      </c>
      <c r="O46" s="121">
        <f t="shared" si="13"/>
        <v>0.56699999999999995</v>
      </c>
      <c r="P46" s="121">
        <f t="shared" si="13"/>
        <v>0.56699999999999995</v>
      </c>
      <c r="Q46" s="121">
        <f t="shared" si="14"/>
        <v>0.60750000000000004</v>
      </c>
      <c r="R46" s="121">
        <f t="shared" si="14"/>
        <v>0.60750000000000004</v>
      </c>
      <c r="S46" s="122" t="s">
        <v>150</v>
      </c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17">
        <v>2250</v>
      </c>
      <c r="B47" s="117" t="s">
        <v>268</v>
      </c>
      <c r="C47" s="117" t="s">
        <v>268</v>
      </c>
      <c r="D47" s="117" t="s">
        <v>147</v>
      </c>
      <c r="E47" s="117" t="s">
        <v>147</v>
      </c>
      <c r="F47" s="117" t="s">
        <v>114</v>
      </c>
      <c r="G47" s="121">
        <v>0.40799999999999997</v>
      </c>
      <c r="H47" s="121">
        <v>0.40799999999999997</v>
      </c>
      <c r="I47" s="121">
        <f t="shared" si="10"/>
        <v>0.44880000000000003</v>
      </c>
      <c r="J47" s="121">
        <f t="shared" si="10"/>
        <v>0.44880000000000003</v>
      </c>
      <c r="K47" s="121">
        <f t="shared" si="11"/>
        <v>0.51</v>
      </c>
      <c r="L47" s="121">
        <f t="shared" si="11"/>
        <v>0.51</v>
      </c>
      <c r="M47" s="121">
        <f t="shared" si="12"/>
        <v>0.53039999999999998</v>
      </c>
      <c r="N47" s="121">
        <f t="shared" si="12"/>
        <v>0.53039999999999998</v>
      </c>
      <c r="O47" s="121">
        <f t="shared" si="13"/>
        <v>0.57119999999999993</v>
      </c>
      <c r="P47" s="121">
        <f t="shared" si="13"/>
        <v>0.57119999999999993</v>
      </c>
      <c r="Q47" s="121">
        <f t="shared" si="14"/>
        <v>0.61199999999999999</v>
      </c>
      <c r="R47" s="121">
        <f t="shared" si="14"/>
        <v>0.61199999999999999</v>
      </c>
      <c r="S47" s="122" t="s">
        <v>157</v>
      </c>
      <c r="T47" s="117"/>
      <c r="U47" s="117"/>
      <c r="V47" s="117"/>
      <c r="W47" s="117"/>
      <c r="X47" s="117"/>
      <c r="Y47" s="117"/>
      <c r="Z47" s="117"/>
      <c r="AA47" s="117"/>
      <c r="AB47" s="117"/>
    </row>
    <row r="48" spans="1:28">
      <c r="A48" s="117">
        <v>2280</v>
      </c>
      <c r="B48" s="117" t="s">
        <v>134</v>
      </c>
      <c r="C48" s="117" t="s">
        <v>134</v>
      </c>
      <c r="D48" s="117" t="s">
        <v>158</v>
      </c>
      <c r="E48" s="117" t="s">
        <v>158</v>
      </c>
      <c r="F48" s="117" t="s">
        <v>130</v>
      </c>
      <c r="G48" s="121">
        <v>0.35899999999999999</v>
      </c>
      <c r="H48" s="121">
        <v>0.35899999999999999</v>
      </c>
      <c r="I48" s="121">
        <f t="shared" si="10"/>
        <v>0.39490000000000003</v>
      </c>
      <c r="J48" s="121">
        <f t="shared" si="10"/>
        <v>0.39490000000000003</v>
      </c>
      <c r="K48" s="121">
        <f t="shared" si="11"/>
        <v>0.44874999999999998</v>
      </c>
      <c r="L48" s="121">
        <f t="shared" si="11"/>
        <v>0.44874999999999998</v>
      </c>
      <c r="M48" s="121">
        <f t="shared" si="12"/>
        <v>0.4667</v>
      </c>
      <c r="N48" s="121">
        <f t="shared" si="12"/>
        <v>0.4667</v>
      </c>
      <c r="O48" s="121">
        <f t="shared" si="13"/>
        <v>0.50259999999999994</v>
      </c>
      <c r="P48" s="121">
        <f t="shared" si="13"/>
        <v>0.50259999999999994</v>
      </c>
      <c r="Q48" s="121">
        <f t="shared" si="14"/>
        <v>0.53849999999999998</v>
      </c>
      <c r="R48" s="121">
        <f t="shared" si="14"/>
        <v>0.53849999999999998</v>
      </c>
      <c r="S48" s="122" t="s">
        <v>404</v>
      </c>
      <c r="T48" s="117"/>
      <c r="U48" s="117"/>
      <c r="V48" s="117"/>
      <c r="W48" s="117"/>
      <c r="X48" s="117"/>
      <c r="Y48" s="117"/>
      <c r="Z48" s="117"/>
      <c r="AA48" s="117"/>
      <c r="AB48" s="117"/>
    </row>
    <row r="49" spans="1:28">
      <c r="A49" s="117">
        <v>2207</v>
      </c>
      <c r="B49" s="117" t="s">
        <v>111</v>
      </c>
      <c r="C49" s="117" t="s">
        <v>111</v>
      </c>
      <c r="D49" s="117" t="s">
        <v>159</v>
      </c>
      <c r="E49" s="117" t="s">
        <v>159</v>
      </c>
      <c r="F49" s="117" t="s">
        <v>130</v>
      </c>
      <c r="G49" s="121">
        <v>0.47299999999999998</v>
      </c>
      <c r="H49" s="121">
        <v>0.47299999999999998</v>
      </c>
      <c r="I49" s="121">
        <f t="shared" si="10"/>
        <v>0.52029999999999998</v>
      </c>
      <c r="J49" s="121">
        <f t="shared" si="10"/>
        <v>0.52029999999999998</v>
      </c>
      <c r="K49" s="121">
        <f t="shared" si="11"/>
        <v>0.59124999999999994</v>
      </c>
      <c r="L49" s="121">
        <f t="shared" si="11"/>
        <v>0.59124999999999994</v>
      </c>
      <c r="M49" s="121">
        <f t="shared" si="12"/>
        <v>0.6149</v>
      </c>
      <c r="N49" s="121">
        <f t="shared" si="12"/>
        <v>0.6149</v>
      </c>
      <c r="O49" s="121">
        <f t="shared" si="13"/>
        <v>0.6621999999999999</v>
      </c>
      <c r="P49" s="121">
        <f t="shared" si="13"/>
        <v>0.6621999999999999</v>
      </c>
      <c r="Q49" s="121">
        <f t="shared" si="14"/>
        <v>0.70950000000000002</v>
      </c>
      <c r="R49" s="121">
        <f t="shared" si="14"/>
        <v>0.70950000000000002</v>
      </c>
      <c r="S49" s="122" t="s">
        <v>143</v>
      </c>
      <c r="T49" s="117"/>
      <c r="U49" s="117"/>
      <c r="V49" s="117"/>
      <c r="W49" s="117"/>
      <c r="X49" s="117"/>
      <c r="Y49" s="117"/>
      <c r="Z49" s="117"/>
      <c r="AA49" s="117"/>
      <c r="AB49" s="117"/>
    </row>
    <row r="50" spans="1:28">
      <c r="A50" s="117">
        <v>2208</v>
      </c>
      <c r="B50" s="117" t="s">
        <v>160</v>
      </c>
      <c r="C50" s="117" t="s">
        <v>160</v>
      </c>
      <c r="D50" s="117" t="s">
        <v>161</v>
      </c>
      <c r="E50" s="117" t="s">
        <v>161</v>
      </c>
      <c r="F50" s="117" t="s">
        <v>130</v>
      </c>
      <c r="G50" s="121">
        <v>0.41099999999999998</v>
      </c>
      <c r="H50" s="121">
        <v>0.41099999999999998</v>
      </c>
      <c r="I50" s="121">
        <f t="shared" si="10"/>
        <v>0.4521</v>
      </c>
      <c r="J50" s="121">
        <f t="shared" si="10"/>
        <v>0.4521</v>
      </c>
      <c r="K50" s="121">
        <f t="shared" si="11"/>
        <v>0.51374999999999993</v>
      </c>
      <c r="L50" s="121">
        <f t="shared" si="11"/>
        <v>0.51374999999999993</v>
      </c>
      <c r="M50" s="121">
        <f t="shared" si="12"/>
        <v>0.5343</v>
      </c>
      <c r="N50" s="121">
        <f t="shared" si="12"/>
        <v>0.5343</v>
      </c>
      <c r="O50" s="121">
        <f t="shared" si="13"/>
        <v>0.57539999999999991</v>
      </c>
      <c r="P50" s="121">
        <f t="shared" si="13"/>
        <v>0.57539999999999991</v>
      </c>
      <c r="Q50" s="121">
        <f t="shared" si="14"/>
        <v>0.61649999999999994</v>
      </c>
      <c r="R50" s="121">
        <f t="shared" si="14"/>
        <v>0.61649999999999994</v>
      </c>
      <c r="S50" s="122" t="s">
        <v>162</v>
      </c>
    </row>
    <row r="51" spans="1:28">
      <c r="A51" s="117">
        <v>2209</v>
      </c>
      <c r="B51" s="117" t="s">
        <v>108</v>
      </c>
      <c r="C51" s="117" t="s">
        <v>108</v>
      </c>
      <c r="D51" s="117" t="s">
        <v>163</v>
      </c>
      <c r="E51" s="117" t="s">
        <v>163</v>
      </c>
      <c r="F51" s="117" t="s">
        <v>130</v>
      </c>
      <c r="G51" s="121">
        <v>0.39600000000000002</v>
      </c>
      <c r="H51" s="121">
        <v>0.39600000000000002</v>
      </c>
      <c r="I51" s="121">
        <f t="shared" si="10"/>
        <v>0.43560000000000004</v>
      </c>
      <c r="J51" s="121">
        <f t="shared" si="10"/>
        <v>0.43560000000000004</v>
      </c>
      <c r="K51" s="121">
        <f t="shared" si="11"/>
        <v>0.495</v>
      </c>
      <c r="L51" s="121">
        <f t="shared" si="11"/>
        <v>0.495</v>
      </c>
      <c r="M51" s="121">
        <f t="shared" si="12"/>
        <v>0.51480000000000004</v>
      </c>
      <c r="N51" s="121">
        <f t="shared" si="12"/>
        <v>0.51480000000000004</v>
      </c>
      <c r="O51" s="121">
        <f t="shared" si="13"/>
        <v>0.5544</v>
      </c>
      <c r="P51" s="121">
        <f t="shared" si="13"/>
        <v>0.5544</v>
      </c>
      <c r="Q51" s="121">
        <f t="shared" si="14"/>
        <v>0.59400000000000008</v>
      </c>
      <c r="R51" s="121">
        <f t="shared" si="14"/>
        <v>0.59400000000000008</v>
      </c>
      <c r="S51" s="122" t="s">
        <v>164</v>
      </c>
    </row>
    <row r="52" spans="1:28">
      <c r="A52" s="117">
        <v>2210</v>
      </c>
      <c r="B52" s="117" t="s">
        <v>112</v>
      </c>
      <c r="C52" s="117" t="s">
        <v>112</v>
      </c>
      <c r="D52" s="117" t="s">
        <v>147</v>
      </c>
      <c r="E52" s="117" t="s">
        <v>147</v>
      </c>
      <c r="F52" s="117" t="s">
        <v>130</v>
      </c>
      <c r="G52" s="121">
        <v>0.439</v>
      </c>
      <c r="H52" s="121">
        <v>0.439</v>
      </c>
      <c r="I52" s="121">
        <f t="shared" si="10"/>
        <v>0.48290000000000005</v>
      </c>
      <c r="J52" s="121">
        <f t="shared" si="10"/>
        <v>0.48290000000000005</v>
      </c>
      <c r="K52" s="121">
        <f t="shared" si="11"/>
        <v>0.54874999999999996</v>
      </c>
      <c r="L52" s="121">
        <f t="shared" si="11"/>
        <v>0.54874999999999996</v>
      </c>
      <c r="M52" s="121">
        <f t="shared" si="12"/>
        <v>0.57069999999999999</v>
      </c>
      <c r="N52" s="121">
        <f t="shared" si="12"/>
        <v>0.57069999999999999</v>
      </c>
      <c r="O52" s="121">
        <f t="shared" si="13"/>
        <v>0.61459999999999992</v>
      </c>
      <c r="P52" s="121">
        <f t="shared" si="13"/>
        <v>0.61459999999999992</v>
      </c>
      <c r="Q52" s="121">
        <f t="shared" si="14"/>
        <v>0.65849999999999997</v>
      </c>
      <c r="R52" s="121">
        <f t="shared" si="14"/>
        <v>0.65849999999999997</v>
      </c>
      <c r="S52" s="122" t="s">
        <v>143</v>
      </c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1:28">
      <c r="A53" s="117">
        <v>2211</v>
      </c>
      <c r="B53" s="117" t="s">
        <v>165</v>
      </c>
      <c r="C53" s="117" t="s">
        <v>165</v>
      </c>
      <c r="D53" s="117" t="s">
        <v>108</v>
      </c>
      <c r="E53" s="117" t="s">
        <v>108</v>
      </c>
      <c r="F53" s="117" t="s">
        <v>130</v>
      </c>
      <c r="G53" s="121">
        <v>0.44800000000000001</v>
      </c>
      <c r="H53" s="121">
        <v>0.44800000000000001</v>
      </c>
      <c r="I53" s="121">
        <f t="shared" si="10"/>
        <v>0.49280000000000007</v>
      </c>
      <c r="J53" s="121">
        <f t="shared" si="10"/>
        <v>0.49280000000000007</v>
      </c>
      <c r="K53" s="121">
        <f t="shared" si="11"/>
        <v>0.56000000000000005</v>
      </c>
      <c r="L53" s="121">
        <f t="shared" si="11"/>
        <v>0.56000000000000005</v>
      </c>
      <c r="M53" s="121">
        <f t="shared" si="12"/>
        <v>0.58240000000000003</v>
      </c>
      <c r="N53" s="121">
        <f t="shared" si="12"/>
        <v>0.58240000000000003</v>
      </c>
      <c r="O53" s="121">
        <f t="shared" si="13"/>
        <v>0.62719999999999998</v>
      </c>
      <c r="P53" s="121">
        <f t="shared" si="13"/>
        <v>0.62719999999999998</v>
      </c>
      <c r="Q53" s="121">
        <f t="shared" si="14"/>
        <v>0.67200000000000004</v>
      </c>
      <c r="R53" s="121">
        <f t="shared" si="14"/>
        <v>0.67200000000000004</v>
      </c>
      <c r="S53" s="122" t="s">
        <v>143</v>
      </c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1:28">
      <c r="A54" s="117">
        <v>2212</v>
      </c>
      <c r="B54" s="117" t="s">
        <v>166</v>
      </c>
      <c r="C54" s="117" t="s">
        <v>166</v>
      </c>
      <c r="D54" s="117" t="s">
        <v>40</v>
      </c>
      <c r="E54" s="117" t="s">
        <v>40</v>
      </c>
      <c r="F54" s="117" t="s">
        <v>130</v>
      </c>
      <c r="G54" s="121">
        <v>0.44600000000000001</v>
      </c>
      <c r="H54" s="121">
        <v>0.44600000000000001</v>
      </c>
      <c r="I54" s="121">
        <f t="shared" si="10"/>
        <v>0.49060000000000004</v>
      </c>
      <c r="J54" s="121">
        <f t="shared" si="10"/>
        <v>0.49060000000000004</v>
      </c>
      <c r="K54" s="121">
        <f t="shared" si="11"/>
        <v>0.5575</v>
      </c>
      <c r="L54" s="121">
        <f t="shared" si="11"/>
        <v>0.5575</v>
      </c>
      <c r="M54" s="121">
        <f t="shared" si="12"/>
        <v>0.57979999999999998</v>
      </c>
      <c r="N54" s="121">
        <f t="shared" si="12"/>
        <v>0.57979999999999998</v>
      </c>
      <c r="O54" s="121">
        <f t="shared" si="13"/>
        <v>0.62439999999999996</v>
      </c>
      <c r="P54" s="121">
        <f t="shared" si="13"/>
        <v>0.62439999999999996</v>
      </c>
      <c r="Q54" s="121">
        <f t="shared" si="14"/>
        <v>0.66900000000000004</v>
      </c>
      <c r="R54" s="121">
        <f t="shared" si="14"/>
        <v>0.66900000000000004</v>
      </c>
      <c r="S54" s="122" t="s">
        <v>150</v>
      </c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1:28">
      <c r="A55" s="117">
        <v>2213</v>
      </c>
      <c r="B55" s="117" t="s">
        <v>167</v>
      </c>
      <c r="C55" s="117" t="s">
        <v>167</v>
      </c>
      <c r="D55" s="117">
        <v>274</v>
      </c>
      <c r="E55" s="117">
        <v>274</v>
      </c>
      <c r="F55" s="117" t="s">
        <v>130</v>
      </c>
      <c r="G55" s="121">
        <v>0.44600000000000001</v>
      </c>
      <c r="H55" s="121">
        <v>0.44600000000000001</v>
      </c>
      <c r="I55" s="121">
        <f t="shared" si="10"/>
        <v>0.49060000000000004</v>
      </c>
      <c r="J55" s="121">
        <f t="shared" si="10"/>
        <v>0.49060000000000004</v>
      </c>
      <c r="K55" s="121">
        <f t="shared" si="11"/>
        <v>0.5575</v>
      </c>
      <c r="L55" s="121">
        <f t="shared" si="11"/>
        <v>0.5575</v>
      </c>
      <c r="M55" s="121">
        <f t="shared" si="12"/>
        <v>0.57979999999999998</v>
      </c>
      <c r="N55" s="121">
        <f t="shared" si="12"/>
        <v>0.57979999999999998</v>
      </c>
      <c r="O55" s="121">
        <f t="shared" si="13"/>
        <v>0.62439999999999996</v>
      </c>
      <c r="P55" s="121">
        <f t="shared" si="13"/>
        <v>0.62439999999999996</v>
      </c>
      <c r="Q55" s="121">
        <f t="shared" si="14"/>
        <v>0.66900000000000004</v>
      </c>
      <c r="R55" s="121">
        <f t="shared" si="14"/>
        <v>0.66900000000000004</v>
      </c>
      <c r="S55" s="122" t="s">
        <v>150</v>
      </c>
      <c r="T55" s="108"/>
      <c r="U55" s="108"/>
      <c r="V55" s="108"/>
      <c r="W55" s="108"/>
      <c r="X55" s="108"/>
      <c r="Y55" s="108"/>
      <c r="Z55" s="108"/>
      <c r="AA55" s="108"/>
      <c r="AB55" s="108"/>
    </row>
    <row r="56" spans="1:28">
      <c r="A56" s="117">
        <v>2214</v>
      </c>
      <c r="B56" s="117" t="s">
        <v>168</v>
      </c>
      <c r="C56" s="117" t="s">
        <v>168</v>
      </c>
      <c r="D56" s="117" t="s">
        <v>169</v>
      </c>
      <c r="E56" s="117" t="s">
        <v>169</v>
      </c>
      <c r="F56" s="117" t="s">
        <v>130</v>
      </c>
      <c r="G56" s="121">
        <v>0.44600000000000001</v>
      </c>
      <c r="H56" s="121">
        <v>0.44600000000000001</v>
      </c>
      <c r="I56" s="121">
        <f t="shared" si="10"/>
        <v>0.49060000000000004</v>
      </c>
      <c r="J56" s="121">
        <f t="shared" si="10"/>
        <v>0.49060000000000004</v>
      </c>
      <c r="K56" s="121">
        <f t="shared" si="11"/>
        <v>0.5575</v>
      </c>
      <c r="L56" s="121">
        <f t="shared" si="11"/>
        <v>0.5575</v>
      </c>
      <c r="M56" s="121">
        <f t="shared" si="12"/>
        <v>0.57979999999999998</v>
      </c>
      <c r="N56" s="121">
        <f t="shared" si="12"/>
        <v>0.57979999999999998</v>
      </c>
      <c r="O56" s="121">
        <f t="shared" si="13"/>
        <v>0.62439999999999996</v>
      </c>
      <c r="P56" s="121">
        <f t="shared" si="13"/>
        <v>0.62439999999999996</v>
      </c>
      <c r="Q56" s="121">
        <f t="shared" si="14"/>
        <v>0.66900000000000004</v>
      </c>
      <c r="R56" s="121">
        <f t="shared" si="14"/>
        <v>0.66900000000000004</v>
      </c>
      <c r="S56" s="122" t="s">
        <v>150</v>
      </c>
      <c r="T56" s="108"/>
      <c r="U56" s="108"/>
      <c r="V56" s="108"/>
      <c r="W56" s="108"/>
      <c r="X56" s="108"/>
      <c r="Y56" s="108"/>
      <c r="Z56" s="108"/>
      <c r="AA56" s="108"/>
      <c r="AB56" s="108"/>
    </row>
    <row r="57" spans="1:28">
      <c r="A57" s="117">
        <v>2215</v>
      </c>
      <c r="B57" s="117" t="s">
        <v>170</v>
      </c>
      <c r="C57" s="117" t="s">
        <v>170</v>
      </c>
      <c r="D57" s="123" t="s">
        <v>119</v>
      </c>
      <c r="E57" s="123" t="s">
        <v>119</v>
      </c>
      <c r="F57" s="117" t="s">
        <v>130</v>
      </c>
      <c r="G57" s="121">
        <v>0.47799999999999998</v>
      </c>
      <c r="H57" s="121">
        <v>0.47799999999999998</v>
      </c>
      <c r="I57" s="121">
        <f t="shared" si="10"/>
        <v>0.52580000000000005</v>
      </c>
      <c r="J57" s="121">
        <f t="shared" si="10"/>
        <v>0.52580000000000005</v>
      </c>
      <c r="K57" s="121">
        <f t="shared" si="11"/>
        <v>0.59749999999999992</v>
      </c>
      <c r="L57" s="121">
        <f t="shared" si="11"/>
        <v>0.59749999999999992</v>
      </c>
      <c r="M57" s="121">
        <f t="shared" si="12"/>
        <v>0.62139999999999995</v>
      </c>
      <c r="N57" s="121">
        <f t="shared" si="12"/>
        <v>0.62139999999999995</v>
      </c>
      <c r="O57" s="121">
        <f t="shared" si="13"/>
        <v>0.66919999999999991</v>
      </c>
      <c r="P57" s="121">
        <f t="shared" si="13"/>
        <v>0.66919999999999991</v>
      </c>
      <c r="Q57" s="121">
        <f t="shared" si="14"/>
        <v>0.71699999999999997</v>
      </c>
      <c r="R57" s="121">
        <f t="shared" si="14"/>
        <v>0.71699999999999997</v>
      </c>
      <c r="S57" s="122" t="s">
        <v>171</v>
      </c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28">
      <c r="A58" s="117">
        <v>2216</v>
      </c>
      <c r="B58" s="117" t="s">
        <v>172</v>
      </c>
      <c r="C58" s="117" t="s">
        <v>172</v>
      </c>
      <c r="D58" s="123" t="s">
        <v>149</v>
      </c>
      <c r="E58" s="123" t="s">
        <v>149</v>
      </c>
      <c r="F58" s="117" t="s">
        <v>130</v>
      </c>
      <c r="G58" s="121">
        <v>0.44800000000000001</v>
      </c>
      <c r="H58" s="121">
        <v>0.44800000000000001</v>
      </c>
      <c r="I58" s="121">
        <f t="shared" ref="I58:J85" si="15">$I$6*G58</f>
        <v>0.49280000000000007</v>
      </c>
      <c r="J58" s="121">
        <f t="shared" si="15"/>
        <v>0.49280000000000007</v>
      </c>
      <c r="K58" s="121">
        <f t="shared" ref="K58:L85" si="16">$K$6*G58</f>
        <v>0.56000000000000005</v>
      </c>
      <c r="L58" s="121">
        <f t="shared" si="16"/>
        <v>0.56000000000000005</v>
      </c>
      <c r="M58" s="121">
        <f t="shared" ref="M58:N85" si="17">$M$6*G58</f>
        <v>0.58240000000000003</v>
      </c>
      <c r="N58" s="121">
        <f t="shared" si="17"/>
        <v>0.58240000000000003</v>
      </c>
      <c r="O58" s="121">
        <f t="shared" ref="O58:P85" si="18">$O$6*G58</f>
        <v>0.62719999999999998</v>
      </c>
      <c r="P58" s="121">
        <f t="shared" si="18"/>
        <v>0.62719999999999998</v>
      </c>
      <c r="Q58" s="121">
        <f t="shared" ref="Q58:R85" si="19">$Q$6*G58</f>
        <v>0.67200000000000004</v>
      </c>
      <c r="R58" s="121">
        <f t="shared" si="19"/>
        <v>0.67200000000000004</v>
      </c>
      <c r="S58" s="122" t="s">
        <v>171</v>
      </c>
      <c r="T58" s="108"/>
      <c r="U58" s="108"/>
      <c r="V58" s="108"/>
      <c r="W58" s="108"/>
      <c r="X58" s="108"/>
      <c r="Y58" s="108"/>
      <c r="Z58" s="108"/>
      <c r="AA58" s="108"/>
      <c r="AB58" s="108"/>
    </row>
    <row r="59" spans="1:28">
      <c r="A59" s="117">
        <v>2288</v>
      </c>
      <c r="B59" s="117" t="s">
        <v>173</v>
      </c>
      <c r="C59" s="117" t="s">
        <v>173</v>
      </c>
      <c r="D59" s="117" t="s">
        <v>147</v>
      </c>
      <c r="E59" s="117" t="s">
        <v>147</v>
      </c>
      <c r="F59" s="117" t="s">
        <v>114</v>
      </c>
      <c r="G59" s="121">
        <v>0.38500000000000001</v>
      </c>
      <c r="H59" s="121">
        <v>0.38500000000000001</v>
      </c>
      <c r="I59" s="121">
        <f t="shared" si="15"/>
        <v>0.42350000000000004</v>
      </c>
      <c r="J59" s="121">
        <f t="shared" si="15"/>
        <v>0.42350000000000004</v>
      </c>
      <c r="K59" s="121">
        <f t="shared" si="16"/>
        <v>0.48125000000000001</v>
      </c>
      <c r="L59" s="121">
        <f t="shared" si="16"/>
        <v>0.48125000000000001</v>
      </c>
      <c r="M59" s="121">
        <f t="shared" si="17"/>
        <v>0.50050000000000006</v>
      </c>
      <c r="N59" s="121">
        <f t="shared" si="17"/>
        <v>0.50050000000000006</v>
      </c>
      <c r="O59" s="121">
        <f t="shared" si="18"/>
        <v>0.53899999999999992</v>
      </c>
      <c r="P59" s="121">
        <f t="shared" si="18"/>
        <v>0.53899999999999992</v>
      </c>
      <c r="Q59" s="121">
        <f t="shared" si="19"/>
        <v>0.57750000000000001</v>
      </c>
      <c r="R59" s="121">
        <f t="shared" si="19"/>
        <v>0.57750000000000001</v>
      </c>
      <c r="S59" s="118" t="s">
        <v>174</v>
      </c>
      <c r="T59" s="108"/>
      <c r="U59" s="108"/>
      <c r="V59" s="108"/>
      <c r="W59" s="108"/>
      <c r="X59" s="108"/>
      <c r="Y59" s="108"/>
      <c r="Z59" s="108"/>
      <c r="AA59" s="108"/>
      <c r="AB59" s="108"/>
    </row>
    <row r="60" spans="1:28">
      <c r="A60" s="117">
        <v>2289</v>
      </c>
      <c r="B60" s="117" t="s">
        <v>154</v>
      </c>
      <c r="C60" s="117" t="s">
        <v>154</v>
      </c>
      <c r="D60" s="117" t="s">
        <v>134</v>
      </c>
      <c r="E60" s="117" t="s">
        <v>134</v>
      </c>
      <c r="F60" s="117" t="s">
        <v>114</v>
      </c>
      <c r="G60" s="121">
        <v>0.39800000000000002</v>
      </c>
      <c r="H60" s="121">
        <v>0.39800000000000002</v>
      </c>
      <c r="I60" s="121">
        <f t="shared" si="15"/>
        <v>0.43780000000000008</v>
      </c>
      <c r="J60" s="121">
        <f t="shared" si="15"/>
        <v>0.43780000000000008</v>
      </c>
      <c r="K60" s="121">
        <f t="shared" si="16"/>
        <v>0.49750000000000005</v>
      </c>
      <c r="L60" s="121">
        <f t="shared" si="16"/>
        <v>0.49750000000000005</v>
      </c>
      <c r="M60" s="121">
        <f t="shared" si="17"/>
        <v>0.51740000000000008</v>
      </c>
      <c r="N60" s="121">
        <f t="shared" si="17"/>
        <v>0.51740000000000008</v>
      </c>
      <c r="O60" s="121">
        <f t="shared" si="18"/>
        <v>0.55720000000000003</v>
      </c>
      <c r="P60" s="121">
        <f t="shared" si="18"/>
        <v>0.55720000000000003</v>
      </c>
      <c r="Q60" s="121">
        <f t="shared" si="19"/>
        <v>0.59699999999999998</v>
      </c>
      <c r="R60" s="121">
        <f t="shared" si="19"/>
        <v>0.59699999999999998</v>
      </c>
      <c r="S60" s="118" t="s">
        <v>174</v>
      </c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28">
      <c r="A61" s="117">
        <v>2290</v>
      </c>
      <c r="B61" s="117" t="s">
        <v>168</v>
      </c>
      <c r="C61" s="117" t="s">
        <v>168</v>
      </c>
      <c r="D61" s="117" t="s">
        <v>175</v>
      </c>
      <c r="E61" s="117" t="s">
        <v>175</v>
      </c>
      <c r="F61" s="117" t="s">
        <v>114</v>
      </c>
      <c r="G61" s="121">
        <v>0.436</v>
      </c>
      <c r="H61" s="121">
        <v>0.436</v>
      </c>
      <c r="I61" s="121">
        <f t="shared" si="15"/>
        <v>0.47960000000000003</v>
      </c>
      <c r="J61" s="121">
        <f t="shared" si="15"/>
        <v>0.47960000000000003</v>
      </c>
      <c r="K61" s="121">
        <f t="shared" si="16"/>
        <v>0.54500000000000004</v>
      </c>
      <c r="L61" s="121">
        <f t="shared" si="16"/>
        <v>0.54500000000000004</v>
      </c>
      <c r="M61" s="121">
        <f t="shared" si="17"/>
        <v>0.56679999999999997</v>
      </c>
      <c r="N61" s="121">
        <f t="shared" si="17"/>
        <v>0.56679999999999997</v>
      </c>
      <c r="O61" s="121">
        <f t="shared" si="18"/>
        <v>0.61039999999999994</v>
      </c>
      <c r="P61" s="121">
        <f t="shared" si="18"/>
        <v>0.61039999999999994</v>
      </c>
      <c r="Q61" s="121">
        <f t="shared" si="19"/>
        <v>0.65400000000000003</v>
      </c>
      <c r="R61" s="121">
        <f t="shared" si="19"/>
        <v>0.65400000000000003</v>
      </c>
      <c r="S61" s="118" t="s">
        <v>174</v>
      </c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1:28">
      <c r="A62" s="117">
        <v>2291</v>
      </c>
      <c r="B62" s="117" t="s">
        <v>176</v>
      </c>
      <c r="C62" s="117" t="s">
        <v>176</v>
      </c>
      <c r="D62" s="117" t="s">
        <v>177</v>
      </c>
      <c r="E62" s="117" t="s">
        <v>177</v>
      </c>
      <c r="F62" s="117" t="s">
        <v>114</v>
      </c>
      <c r="G62" s="121">
        <v>0.41499999999999998</v>
      </c>
      <c r="H62" s="121">
        <v>0.41499999999999998</v>
      </c>
      <c r="I62" s="121">
        <f t="shared" si="15"/>
        <v>0.45650000000000002</v>
      </c>
      <c r="J62" s="121">
        <f t="shared" si="15"/>
        <v>0.45650000000000002</v>
      </c>
      <c r="K62" s="121">
        <f t="shared" si="16"/>
        <v>0.51874999999999993</v>
      </c>
      <c r="L62" s="121">
        <f t="shared" si="16"/>
        <v>0.51874999999999993</v>
      </c>
      <c r="M62" s="121">
        <f t="shared" si="17"/>
        <v>0.53949999999999998</v>
      </c>
      <c r="N62" s="121">
        <f t="shared" si="17"/>
        <v>0.53949999999999998</v>
      </c>
      <c r="O62" s="121">
        <f t="shared" si="18"/>
        <v>0.58099999999999996</v>
      </c>
      <c r="P62" s="121">
        <f t="shared" si="18"/>
        <v>0.58099999999999996</v>
      </c>
      <c r="Q62" s="121">
        <f t="shared" si="19"/>
        <v>0.62249999999999994</v>
      </c>
      <c r="R62" s="121">
        <f t="shared" si="19"/>
        <v>0.62249999999999994</v>
      </c>
      <c r="S62" s="118" t="s">
        <v>174</v>
      </c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1:28">
      <c r="A63" s="117">
        <v>2295</v>
      </c>
      <c r="B63" s="117" t="s">
        <v>151</v>
      </c>
      <c r="C63" s="117" t="s">
        <v>151</v>
      </c>
      <c r="D63" s="117" t="s">
        <v>40</v>
      </c>
      <c r="E63" s="117" t="s">
        <v>40</v>
      </c>
      <c r="F63" s="117" t="s">
        <v>114</v>
      </c>
      <c r="G63" s="121">
        <v>0.41499999999999998</v>
      </c>
      <c r="H63" s="121">
        <v>0.41499999999999998</v>
      </c>
      <c r="I63" s="121">
        <f t="shared" si="15"/>
        <v>0.45650000000000002</v>
      </c>
      <c r="J63" s="121">
        <f t="shared" si="15"/>
        <v>0.45650000000000002</v>
      </c>
      <c r="K63" s="121">
        <f t="shared" si="16"/>
        <v>0.51874999999999993</v>
      </c>
      <c r="L63" s="121">
        <f t="shared" si="16"/>
        <v>0.51874999999999993</v>
      </c>
      <c r="M63" s="121">
        <f t="shared" si="17"/>
        <v>0.53949999999999998</v>
      </c>
      <c r="N63" s="121">
        <f t="shared" si="17"/>
        <v>0.53949999999999998</v>
      </c>
      <c r="O63" s="121">
        <f t="shared" si="18"/>
        <v>0.58099999999999996</v>
      </c>
      <c r="P63" s="121">
        <f t="shared" si="18"/>
        <v>0.58099999999999996</v>
      </c>
      <c r="Q63" s="121">
        <f t="shared" si="19"/>
        <v>0.62249999999999994</v>
      </c>
      <c r="R63" s="121">
        <f t="shared" si="19"/>
        <v>0.62249999999999994</v>
      </c>
      <c r="S63" s="118" t="s">
        <v>174</v>
      </c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1:28">
      <c r="A64" s="117">
        <v>2296</v>
      </c>
      <c r="B64" s="117" t="s">
        <v>168</v>
      </c>
      <c r="C64" s="117" t="s">
        <v>168</v>
      </c>
      <c r="D64" s="117" t="s">
        <v>125</v>
      </c>
      <c r="E64" s="117" t="s">
        <v>125</v>
      </c>
      <c r="F64" s="117" t="s">
        <v>114</v>
      </c>
      <c r="G64" s="121">
        <v>0.42399999999999999</v>
      </c>
      <c r="H64" s="121">
        <v>0.42399999999999999</v>
      </c>
      <c r="I64" s="121">
        <f t="shared" si="15"/>
        <v>0.46640000000000004</v>
      </c>
      <c r="J64" s="121">
        <f t="shared" si="15"/>
        <v>0.46640000000000004</v>
      </c>
      <c r="K64" s="121">
        <f t="shared" si="16"/>
        <v>0.53</v>
      </c>
      <c r="L64" s="121">
        <f t="shared" si="16"/>
        <v>0.53</v>
      </c>
      <c r="M64" s="121">
        <f t="shared" si="17"/>
        <v>0.55120000000000002</v>
      </c>
      <c r="N64" s="121">
        <f t="shared" si="17"/>
        <v>0.55120000000000002</v>
      </c>
      <c r="O64" s="121">
        <f t="shared" si="18"/>
        <v>0.59359999999999991</v>
      </c>
      <c r="P64" s="121">
        <f t="shared" si="18"/>
        <v>0.59359999999999991</v>
      </c>
      <c r="Q64" s="121">
        <f t="shared" si="19"/>
        <v>0.63600000000000001</v>
      </c>
      <c r="R64" s="121">
        <f t="shared" si="19"/>
        <v>0.63600000000000001</v>
      </c>
      <c r="S64" s="118" t="s">
        <v>174</v>
      </c>
      <c r="T64" s="108"/>
      <c r="U64" s="108"/>
      <c r="V64" s="108"/>
      <c r="W64" s="108"/>
      <c r="X64" s="108"/>
      <c r="Y64" s="108"/>
      <c r="Z64" s="108"/>
      <c r="AA64" s="108"/>
      <c r="AB64" s="108"/>
    </row>
    <row r="65" spans="1:28">
      <c r="A65" s="117">
        <v>2297</v>
      </c>
      <c r="B65" s="117" t="s">
        <v>178</v>
      </c>
      <c r="C65" s="117" t="s">
        <v>178</v>
      </c>
      <c r="D65" s="117" t="s">
        <v>179</v>
      </c>
      <c r="E65" s="117" t="s">
        <v>179</v>
      </c>
      <c r="F65" s="117" t="s">
        <v>114</v>
      </c>
      <c r="G65" s="121">
        <v>0.435</v>
      </c>
      <c r="H65" s="121">
        <v>0.435</v>
      </c>
      <c r="I65" s="121">
        <f t="shared" si="15"/>
        <v>0.47850000000000004</v>
      </c>
      <c r="J65" s="121">
        <f t="shared" si="15"/>
        <v>0.47850000000000004</v>
      </c>
      <c r="K65" s="121">
        <f t="shared" si="16"/>
        <v>0.54374999999999996</v>
      </c>
      <c r="L65" s="121">
        <f t="shared" si="16"/>
        <v>0.54374999999999996</v>
      </c>
      <c r="M65" s="121">
        <f t="shared" si="17"/>
        <v>0.5655</v>
      </c>
      <c r="N65" s="121">
        <f t="shared" si="17"/>
        <v>0.5655</v>
      </c>
      <c r="O65" s="121">
        <f t="shared" si="18"/>
        <v>0.60899999999999999</v>
      </c>
      <c r="P65" s="121">
        <f t="shared" si="18"/>
        <v>0.60899999999999999</v>
      </c>
      <c r="Q65" s="121">
        <f t="shared" si="19"/>
        <v>0.65249999999999997</v>
      </c>
      <c r="R65" s="121">
        <f t="shared" si="19"/>
        <v>0.65249999999999997</v>
      </c>
      <c r="S65" s="118" t="s">
        <v>174</v>
      </c>
      <c r="T65" s="108"/>
      <c r="U65" s="108"/>
      <c r="V65" s="108"/>
      <c r="W65" s="108"/>
      <c r="X65" s="108"/>
      <c r="Y65" s="108"/>
      <c r="Z65" s="108"/>
      <c r="AA65" s="108"/>
      <c r="AB65" s="108"/>
    </row>
    <row r="66" spans="1:28">
      <c r="A66" s="117">
        <v>2298</v>
      </c>
      <c r="B66" s="117" t="s">
        <v>170</v>
      </c>
      <c r="C66" s="117" t="s">
        <v>170</v>
      </c>
      <c r="D66" s="117" t="s">
        <v>140</v>
      </c>
      <c r="E66" s="117" t="s">
        <v>140</v>
      </c>
      <c r="F66" s="117" t="s">
        <v>114</v>
      </c>
      <c r="G66" s="121">
        <v>0.40699999999999997</v>
      </c>
      <c r="H66" s="121">
        <v>0.40699999999999997</v>
      </c>
      <c r="I66" s="121">
        <f t="shared" si="15"/>
        <v>0.44769999999999999</v>
      </c>
      <c r="J66" s="121">
        <f t="shared" si="15"/>
        <v>0.44769999999999999</v>
      </c>
      <c r="K66" s="121">
        <f t="shared" si="16"/>
        <v>0.50874999999999992</v>
      </c>
      <c r="L66" s="121">
        <f t="shared" si="16"/>
        <v>0.50874999999999992</v>
      </c>
      <c r="M66" s="121">
        <f t="shared" si="17"/>
        <v>0.52910000000000001</v>
      </c>
      <c r="N66" s="121">
        <f t="shared" si="17"/>
        <v>0.52910000000000001</v>
      </c>
      <c r="O66" s="121">
        <f t="shared" si="18"/>
        <v>0.56979999999999997</v>
      </c>
      <c r="P66" s="121">
        <f t="shared" si="18"/>
        <v>0.56979999999999997</v>
      </c>
      <c r="Q66" s="121">
        <f t="shared" si="19"/>
        <v>0.61049999999999993</v>
      </c>
      <c r="R66" s="121">
        <f t="shared" si="19"/>
        <v>0.61049999999999993</v>
      </c>
      <c r="S66" s="118" t="s">
        <v>174</v>
      </c>
      <c r="T66" s="108"/>
      <c r="U66" s="108"/>
      <c r="V66" s="108"/>
      <c r="W66" s="108"/>
      <c r="X66" s="108"/>
      <c r="Y66" s="108"/>
      <c r="Z66" s="108"/>
      <c r="AA66" s="108"/>
      <c r="AB66" s="108"/>
    </row>
    <row r="67" spans="1:28">
      <c r="A67" s="117">
        <v>2299</v>
      </c>
      <c r="B67" s="117" t="s">
        <v>154</v>
      </c>
      <c r="C67" s="117" t="s">
        <v>154</v>
      </c>
      <c r="D67" s="117" t="s">
        <v>112</v>
      </c>
      <c r="E67" s="117" t="s">
        <v>112</v>
      </c>
      <c r="F67" s="117" t="s">
        <v>114</v>
      </c>
      <c r="G67" s="121">
        <v>0.435</v>
      </c>
      <c r="H67" s="121">
        <v>0.435</v>
      </c>
      <c r="I67" s="121">
        <f t="shared" si="15"/>
        <v>0.47850000000000004</v>
      </c>
      <c r="J67" s="121">
        <f t="shared" si="15"/>
        <v>0.47850000000000004</v>
      </c>
      <c r="K67" s="121">
        <f t="shared" si="16"/>
        <v>0.54374999999999996</v>
      </c>
      <c r="L67" s="121">
        <f t="shared" si="16"/>
        <v>0.54374999999999996</v>
      </c>
      <c r="M67" s="121">
        <f t="shared" si="17"/>
        <v>0.5655</v>
      </c>
      <c r="N67" s="121">
        <f t="shared" si="17"/>
        <v>0.5655</v>
      </c>
      <c r="O67" s="121">
        <f t="shared" si="18"/>
        <v>0.60899999999999999</v>
      </c>
      <c r="P67" s="121">
        <f t="shared" si="18"/>
        <v>0.60899999999999999</v>
      </c>
      <c r="Q67" s="121">
        <f t="shared" si="19"/>
        <v>0.65249999999999997</v>
      </c>
      <c r="R67" s="121">
        <f t="shared" si="19"/>
        <v>0.65249999999999997</v>
      </c>
      <c r="S67" s="118" t="s">
        <v>174</v>
      </c>
      <c r="T67" s="108"/>
      <c r="U67" s="108"/>
      <c r="V67" s="108"/>
      <c r="W67" s="108"/>
      <c r="X67" s="108"/>
      <c r="Y67" s="108"/>
      <c r="Z67" s="108"/>
      <c r="AA67" s="108"/>
      <c r="AB67" s="108"/>
    </row>
    <row r="68" spans="1:28">
      <c r="A68" s="117">
        <v>2300</v>
      </c>
      <c r="B68" s="117" t="s">
        <v>180</v>
      </c>
      <c r="C68" s="117" t="s">
        <v>180</v>
      </c>
      <c r="D68" s="117" t="s">
        <v>138</v>
      </c>
      <c r="E68" s="117" t="s">
        <v>138</v>
      </c>
      <c r="F68" s="117" t="s">
        <v>114</v>
      </c>
      <c r="G68" s="121">
        <v>0.43</v>
      </c>
      <c r="H68" s="121">
        <v>0.43</v>
      </c>
      <c r="I68" s="121">
        <f t="shared" si="15"/>
        <v>0.47300000000000003</v>
      </c>
      <c r="J68" s="121">
        <f t="shared" si="15"/>
        <v>0.47300000000000003</v>
      </c>
      <c r="K68" s="121">
        <f t="shared" si="16"/>
        <v>0.53749999999999998</v>
      </c>
      <c r="L68" s="121">
        <f t="shared" si="16"/>
        <v>0.53749999999999998</v>
      </c>
      <c r="M68" s="121">
        <f t="shared" si="17"/>
        <v>0.55900000000000005</v>
      </c>
      <c r="N68" s="121">
        <f t="shared" si="17"/>
        <v>0.55900000000000005</v>
      </c>
      <c r="O68" s="121">
        <f t="shared" si="18"/>
        <v>0.60199999999999998</v>
      </c>
      <c r="P68" s="121">
        <f t="shared" si="18"/>
        <v>0.60199999999999998</v>
      </c>
      <c r="Q68" s="121">
        <f t="shared" si="19"/>
        <v>0.64500000000000002</v>
      </c>
      <c r="R68" s="121">
        <f t="shared" si="19"/>
        <v>0.64500000000000002</v>
      </c>
      <c r="S68" s="118" t="s">
        <v>174</v>
      </c>
      <c r="T68" s="108"/>
      <c r="U68" s="108"/>
      <c r="V68" s="108"/>
      <c r="W68" s="108"/>
      <c r="X68" s="108"/>
      <c r="Y68" s="108"/>
      <c r="Z68" s="108"/>
      <c r="AA68" s="108"/>
      <c r="AB68" s="108"/>
    </row>
    <row r="69" spans="1:28">
      <c r="A69" s="117">
        <v>2251</v>
      </c>
      <c r="B69" s="117" t="s">
        <v>132</v>
      </c>
      <c r="C69" s="117" t="s">
        <v>132</v>
      </c>
      <c r="D69" s="117" t="s">
        <v>181</v>
      </c>
      <c r="E69" s="117" t="s">
        <v>181</v>
      </c>
      <c r="F69" s="123" t="s">
        <v>130</v>
      </c>
      <c r="G69" s="117">
        <v>0.27600000000000002</v>
      </c>
      <c r="H69" s="117">
        <v>0.27600000000000002</v>
      </c>
      <c r="I69" s="121">
        <f t="shared" si="15"/>
        <v>0.30360000000000004</v>
      </c>
      <c r="J69" s="121">
        <f t="shared" si="15"/>
        <v>0.30360000000000004</v>
      </c>
      <c r="K69" s="121">
        <f t="shared" si="16"/>
        <v>0.34500000000000003</v>
      </c>
      <c r="L69" s="121">
        <f t="shared" si="16"/>
        <v>0.34500000000000003</v>
      </c>
      <c r="M69" s="121">
        <f t="shared" si="17"/>
        <v>0.35880000000000006</v>
      </c>
      <c r="N69" s="121">
        <f t="shared" si="17"/>
        <v>0.35880000000000006</v>
      </c>
      <c r="O69" s="121">
        <f t="shared" si="18"/>
        <v>0.38640000000000002</v>
      </c>
      <c r="P69" s="121">
        <f t="shared" si="18"/>
        <v>0.38640000000000002</v>
      </c>
      <c r="Q69" s="121">
        <f t="shared" si="19"/>
        <v>0.41400000000000003</v>
      </c>
      <c r="R69" s="121">
        <f t="shared" si="19"/>
        <v>0.41400000000000003</v>
      </c>
      <c r="S69" s="122" t="s">
        <v>182</v>
      </c>
      <c r="T69" s="108"/>
      <c r="U69" s="108"/>
      <c r="V69" s="108"/>
      <c r="W69" s="108"/>
      <c r="X69" s="108"/>
      <c r="Y69" s="108"/>
      <c r="Z69" s="108"/>
      <c r="AA69" s="108"/>
      <c r="AB69" s="108"/>
    </row>
    <row r="70" spans="1:28">
      <c r="A70" s="117">
        <v>2252</v>
      </c>
      <c r="B70" s="117" t="s">
        <v>40</v>
      </c>
      <c r="C70" s="117" t="s">
        <v>40</v>
      </c>
      <c r="D70" s="117" t="s">
        <v>183</v>
      </c>
      <c r="E70" s="117" t="s">
        <v>183</v>
      </c>
      <c r="F70" s="123" t="s">
        <v>130</v>
      </c>
      <c r="G70" s="117">
        <v>0.29799999999999999</v>
      </c>
      <c r="H70" s="117">
        <v>0.29799999999999999</v>
      </c>
      <c r="I70" s="121">
        <f t="shared" si="15"/>
        <v>0.32780000000000004</v>
      </c>
      <c r="J70" s="121">
        <f t="shared" si="15"/>
        <v>0.32780000000000004</v>
      </c>
      <c r="K70" s="121">
        <f t="shared" si="16"/>
        <v>0.3725</v>
      </c>
      <c r="L70" s="121">
        <f t="shared" si="16"/>
        <v>0.3725</v>
      </c>
      <c r="M70" s="121">
        <f t="shared" si="17"/>
        <v>0.38740000000000002</v>
      </c>
      <c r="N70" s="121">
        <f t="shared" si="17"/>
        <v>0.38740000000000002</v>
      </c>
      <c r="O70" s="121">
        <f t="shared" si="18"/>
        <v>0.41719999999999996</v>
      </c>
      <c r="P70" s="121">
        <f t="shared" si="18"/>
        <v>0.41719999999999996</v>
      </c>
      <c r="Q70" s="121">
        <f t="shared" si="19"/>
        <v>0.44699999999999995</v>
      </c>
      <c r="R70" s="121">
        <f t="shared" si="19"/>
        <v>0.44699999999999995</v>
      </c>
      <c r="S70" s="122" t="s">
        <v>182</v>
      </c>
      <c r="T70" s="108"/>
      <c r="U70" s="108"/>
      <c r="V70" s="108"/>
      <c r="W70" s="108"/>
      <c r="X70" s="108"/>
      <c r="Y70" s="108"/>
      <c r="Z70" s="108"/>
      <c r="AA70" s="108"/>
      <c r="AB70" s="108"/>
    </row>
    <row r="71" spans="1:28">
      <c r="A71" s="117">
        <v>2253</v>
      </c>
      <c r="B71" s="117" t="s">
        <v>119</v>
      </c>
      <c r="C71" s="117" t="s">
        <v>119</v>
      </c>
      <c r="D71" s="117" t="s">
        <v>101</v>
      </c>
      <c r="E71" s="117" t="s">
        <v>101</v>
      </c>
      <c r="F71" s="123" t="s">
        <v>130</v>
      </c>
      <c r="G71" s="117">
        <v>0.32400000000000001</v>
      </c>
      <c r="H71" s="117">
        <v>0.32400000000000001</v>
      </c>
      <c r="I71" s="121">
        <f t="shared" si="15"/>
        <v>0.35640000000000005</v>
      </c>
      <c r="J71" s="121">
        <f t="shared" si="15"/>
        <v>0.35640000000000005</v>
      </c>
      <c r="K71" s="121">
        <f t="shared" si="16"/>
        <v>0.40500000000000003</v>
      </c>
      <c r="L71" s="121">
        <f t="shared" si="16"/>
        <v>0.40500000000000003</v>
      </c>
      <c r="M71" s="121">
        <f t="shared" si="17"/>
        <v>0.42120000000000002</v>
      </c>
      <c r="N71" s="121">
        <f t="shared" si="17"/>
        <v>0.42120000000000002</v>
      </c>
      <c r="O71" s="121">
        <f t="shared" si="18"/>
        <v>0.4536</v>
      </c>
      <c r="P71" s="121">
        <f t="shared" si="18"/>
        <v>0.4536</v>
      </c>
      <c r="Q71" s="121">
        <f t="shared" si="19"/>
        <v>0.48599999999999999</v>
      </c>
      <c r="R71" s="121">
        <f t="shared" si="19"/>
        <v>0.48599999999999999</v>
      </c>
      <c r="S71" s="122" t="s">
        <v>184</v>
      </c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1:28">
      <c r="A72" s="117">
        <v>2254</v>
      </c>
      <c r="B72" s="117" t="s">
        <v>167</v>
      </c>
      <c r="C72" s="117" t="s">
        <v>167</v>
      </c>
      <c r="D72" s="117" t="s">
        <v>133</v>
      </c>
      <c r="E72" s="117" t="s">
        <v>133</v>
      </c>
      <c r="F72" s="123" t="s">
        <v>130</v>
      </c>
      <c r="G72" s="117">
        <v>0.31900000000000001</v>
      </c>
      <c r="H72" s="117">
        <v>0.31900000000000001</v>
      </c>
      <c r="I72" s="121">
        <f t="shared" si="15"/>
        <v>0.35090000000000005</v>
      </c>
      <c r="J72" s="121">
        <f t="shared" si="15"/>
        <v>0.35090000000000005</v>
      </c>
      <c r="K72" s="121">
        <f t="shared" si="16"/>
        <v>0.39874999999999999</v>
      </c>
      <c r="L72" s="121">
        <f t="shared" si="16"/>
        <v>0.39874999999999999</v>
      </c>
      <c r="M72" s="121">
        <f t="shared" si="17"/>
        <v>0.41470000000000001</v>
      </c>
      <c r="N72" s="121">
        <f t="shared" si="17"/>
        <v>0.41470000000000001</v>
      </c>
      <c r="O72" s="121">
        <f t="shared" si="18"/>
        <v>0.4466</v>
      </c>
      <c r="P72" s="121">
        <f t="shared" si="18"/>
        <v>0.4466</v>
      </c>
      <c r="Q72" s="121">
        <f t="shared" si="19"/>
        <v>0.47850000000000004</v>
      </c>
      <c r="R72" s="121">
        <f t="shared" si="19"/>
        <v>0.47850000000000004</v>
      </c>
      <c r="S72" s="122" t="s">
        <v>184</v>
      </c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1:28">
      <c r="A73" s="117">
        <v>2255</v>
      </c>
      <c r="B73" s="117" t="s">
        <v>180</v>
      </c>
      <c r="C73" s="117" t="s">
        <v>180</v>
      </c>
      <c r="D73" s="123" t="s">
        <v>185</v>
      </c>
      <c r="E73" s="123" t="s">
        <v>185</v>
      </c>
      <c r="F73" s="123" t="s">
        <v>130</v>
      </c>
      <c r="G73" s="117">
        <v>0.42299999999999999</v>
      </c>
      <c r="H73" s="117">
        <v>0.42299999999999999</v>
      </c>
      <c r="I73" s="121">
        <f t="shared" si="15"/>
        <v>0.46530000000000005</v>
      </c>
      <c r="J73" s="121">
        <f t="shared" si="15"/>
        <v>0.46530000000000005</v>
      </c>
      <c r="K73" s="121">
        <f t="shared" si="16"/>
        <v>0.52874999999999994</v>
      </c>
      <c r="L73" s="121">
        <f t="shared" si="16"/>
        <v>0.52874999999999994</v>
      </c>
      <c r="M73" s="121">
        <f t="shared" si="17"/>
        <v>0.54990000000000006</v>
      </c>
      <c r="N73" s="121">
        <f t="shared" si="17"/>
        <v>0.54990000000000006</v>
      </c>
      <c r="O73" s="121">
        <f t="shared" si="18"/>
        <v>0.59219999999999995</v>
      </c>
      <c r="P73" s="121">
        <f t="shared" si="18"/>
        <v>0.59219999999999995</v>
      </c>
      <c r="Q73" s="121">
        <f t="shared" si="19"/>
        <v>0.63449999999999995</v>
      </c>
      <c r="R73" s="121">
        <f t="shared" si="19"/>
        <v>0.63449999999999995</v>
      </c>
      <c r="S73" s="122" t="s">
        <v>184</v>
      </c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1:28">
      <c r="A74" s="117">
        <v>2256</v>
      </c>
      <c r="B74" s="117" t="s">
        <v>154</v>
      </c>
      <c r="C74" s="117" t="s">
        <v>154</v>
      </c>
      <c r="D74" s="123" t="s">
        <v>132</v>
      </c>
      <c r="E74" s="123" t="s">
        <v>132</v>
      </c>
      <c r="F74" s="123" t="s">
        <v>130</v>
      </c>
      <c r="G74" s="117">
        <v>0.40799999999999997</v>
      </c>
      <c r="H74" s="117">
        <v>0.40799999999999997</v>
      </c>
      <c r="I74" s="121">
        <f t="shared" si="15"/>
        <v>0.44880000000000003</v>
      </c>
      <c r="J74" s="121">
        <f t="shared" si="15"/>
        <v>0.44880000000000003</v>
      </c>
      <c r="K74" s="121">
        <f t="shared" si="16"/>
        <v>0.51</v>
      </c>
      <c r="L74" s="121">
        <f t="shared" si="16"/>
        <v>0.51</v>
      </c>
      <c r="M74" s="121">
        <f t="shared" si="17"/>
        <v>0.53039999999999998</v>
      </c>
      <c r="N74" s="121">
        <f t="shared" si="17"/>
        <v>0.53039999999999998</v>
      </c>
      <c r="O74" s="121">
        <f t="shared" si="18"/>
        <v>0.57119999999999993</v>
      </c>
      <c r="P74" s="121">
        <f t="shared" si="18"/>
        <v>0.57119999999999993</v>
      </c>
      <c r="Q74" s="121">
        <f t="shared" si="19"/>
        <v>0.61199999999999999</v>
      </c>
      <c r="R74" s="121">
        <f t="shared" si="19"/>
        <v>0.61199999999999999</v>
      </c>
      <c r="S74" s="122" t="s">
        <v>184</v>
      </c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1:28">
      <c r="A75" s="117">
        <v>2257</v>
      </c>
      <c r="B75" s="117" t="s">
        <v>155</v>
      </c>
      <c r="C75" s="117" t="s">
        <v>155</v>
      </c>
      <c r="D75" s="123" t="s">
        <v>186</v>
      </c>
      <c r="E75" s="123" t="s">
        <v>186</v>
      </c>
      <c r="F75" s="123" t="s">
        <v>130</v>
      </c>
      <c r="G75" s="117">
        <v>0.42599999999999999</v>
      </c>
      <c r="H75" s="117">
        <v>0.42599999999999999</v>
      </c>
      <c r="I75" s="121">
        <f t="shared" si="15"/>
        <v>0.46860000000000002</v>
      </c>
      <c r="J75" s="121">
        <f t="shared" si="15"/>
        <v>0.46860000000000002</v>
      </c>
      <c r="K75" s="121">
        <f t="shared" si="16"/>
        <v>0.53249999999999997</v>
      </c>
      <c r="L75" s="121">
        <f t="shared" si="16"/>
        <v>0.53249999999999997</v>
      </c>
      <c r="M75" s="121">
        <f t="shared" si="17"/>
        <v>0.55379999999999996</v>
      </c>
      <c r="N75" s="121">
        <f t="shared" si="17"/>
        <v>0.55379999999999996</v>
      </c>
      <c r="O75" s="121">
        <f t="shared" si="18"/>
        <v>0.59639999999999993</v>
      </c>
      <c r="P75" s="121">
        <f t="shared" si="18"/>
        <v>0.59639999999999993</v>
      </c>
      <c r="Q75" s="121">
        <f t="shared" si="19"/>
        <v>0.63900000000000001</v>
      </c>
      <c r="R75" s="121">
        <f t="shared" si="19"/>
        <v>0.63900000000000001</v>
      </c>
      <c r="S75" s="122" t="s">
        <v>184</v>
      </c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>
      <c r="A76" s="117">
        <v>1466</v>
      </c>
      <c r="B76" s="117" t="s">
        <v>117</v>
      </c>
      <c r="C76" s="117" t="s">
        <v>117</v>
      </c>
      <c r="D76" s="123" t="s">
        <v>187</v>
      </c>
      <c r="E76" s="123" t="s">
        <v>187</v>
      </c>
      <c r="F76" s="117" t="s">
        <v>130</v>
      </c>
      <c r="G76" s="121">
        <v>0.35</v>
      </c>
      <c r="H76" s="121">
        <v>0.35</v>
      </c>
      <c r="I76" s="121">
        <f t="shared" si="15"/>
        <v>0.38500000000000001</v>
      </c>
      <c r="J76" s="121">
        <f t="shared" si="15"/>
        <v>0.38500000000000001</v>
      </c>
      <c r="K76" s="121">
        <f t="shared" si="16"/>
        <v>0.4375</v>
      </c>
      <c r="L76" s="121">
        <f t="shared" si="16"/>
        <v>0.4375</v>
      </c>
      <c r="M76" s="121">
        <f t="shared" si="17"/>
        <v>0.45499999999999996</v>
      </c>
      <c r="N76" s="121">
        <f t="shared" si="17"/>
        <v>0.45499999999999996</v>
      </c>
      <c r="O76" s="121">
        <f t="shared" si="18"/>
        <v>0.48999999999999994</v>
      </c>
      <c r="P76" s="121">
        <f t="shared" si="18"/>
        <v>0.48999999999999994</v>
      </c>
      <c r="Q76" s="121">
        <f t="shared" si="19"/>
        <v>0.52499999999999991</v>
      </c>
      <c r="R76" s="121">
        <f t="shared" si="19"/>
        <v>0.52499999999999991</v>
      </c>
      <c r="S76" s="118" t="s">
        <v>188</v>
      </c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1:28">
      <c r="A77" s="117">
        <v>1467</v>
      </c>
      <c r="B77" s="117" t="s">
        <v>189</v>
      </c>
      <c r="C77" s="117" t="s">
        <v>189</v>
      </c>
      <c r="D77" s="123" t="s">
        <v>190</v>
      </c>
      <c r="E77" s="123" t="s">
        <v>190</v>
      </c>
      <c r="F77" s="117" t="s">
        <v>130</v>
      </c>
      <c r="G77" s="121">
        <v>0.35199999999999998</v>
      </c>
      <c r="H77" s="121">
        <v>0.35199999999999998</v>
      </c>
      <c r="I77" s="121">
        <f t="shared" si="15"/>
        <v>0.38719999999999999</v>
      </c>
      <c r="J77" s="121">
        <f t="shared" si="15"/>
        <v>0.38719999999999999</v>
      </c>
      <c r="K77" s="121">
        <f t="shared" si="16"/>
        <v>0.43999999999999995</v>
      </c>
      <c r="L77" s="121">
        <f t="shared" si="16"/>
        <v>0.43999999999999995</v>
      </c>
      <c r="M77" s="121">
        <f t="shared" si="17"/>
        <v>0.45760000000000001</v>
      </c>
      <c r="N77" s="121">
        <f t="shared" si="17"/>
        <v>0.45760000000000001</v>
      </c>
      <c r="O77" s="121">
        <f t="shared" si="18"/>
        <v>0.49279999999999996</v>
      </c>
      <c r="P77" s="121">
        <f t="shared" si="18"/>
        <v>0.49279999999999996</v>
      </c>
      <c r="Q77" s="121">
        <f t="shared" si="19"/>
        <v>0.52800000000000002</v>
      </c>
      <c r="R77" s="121">
        <f t="shared" si="19"/>
        <v>0.52800000000000002</v>
      </c>
      <c r="S77" s="122" t="s">
        <v>191</v>
      </c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1:28">
      <c r="A78" s="117">
        <v>1468</v>
      </c>
      <c r="B78" s="117" t="s">
        <v>122</v>
      </c>
      <c r="C78" s="117" t="s">
        <v>122</v>
      </c>
      <c r="D78" s="123" t="s">
        <v>129</v>
      </c>
      <c r="E78" s="123" t="s">
        <v>129</v>
      </c>
      <c r="F78" s="117" t="s">
        <v>130</v>
      </c>
      <c r="G78" s="121">
        <v>0.36</v>
      </c>
      <c r="H78" s="121">
        <v>0.36</v>
      </c>
      <c r="I78" s="121">
        <f t="shared" si="15"/>
        <v>0.39600000000000002</v>
      </c>
      <c r="J78" s="121">
        <f t="shared" si="15"/>
        <v>0.39600000000000002</v>
      </c>
      <c r="K78" s="121">
        <f t="shared" si="16"/>
        <v>0.44999999999999996</v>
      </c>
      <c r="L78" s="121">
        <f t="shared" si="16"/>
        <v>0.44999999999999996</v>
      </c>
      <c r="M78" s="121">
        <f t="shared" si="17"/>
        <v>0.46799999999999997</v>
      </c>
      <c r="N78" s="121">
        <f t="shared" si="17"/>
        <v>0.46799999999999997</v>
      </c>
      <c r="O78" s="121">
        <f t="shared" si="18"/>
        <v>0.504</v>
      </c>
      <c r="P78" s="121">
        <f t="shared" si="18"/>
        <v>0.504</v>
      </c>
      <c r="Q78" s="121">
        <f t="shared" si="19"/>
        <v>0.54</v>
      </c>
      <c r="R78" s="121">
        <f t="shared" si="19"/>
        <v>0.54</v>
      </c>
      <c r="S78" s="122" t="s">
        <v>192</v>
      </c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1:28">
      <c r="A79" s="117">
        <v>1469</v>
      </c>
      <c r="B79" s="117" t="s">
        <v>145</v>
      </c>
      <c r="C79" s="117" t="s">
        <v>145</v>
      </c>
      <c r="D79" s="123" t="s">
        <v>163</v>
      </c>
      <c r="E79" s="123" t="s">
        <v>163</v>
      </c>
      <c r="F79" s="117" t="s">
        <v>130</v>
      </c>
      <c r="G79" s="121">
        <v>0.36499999999999999</v>
      </c>
      <c r="H79" s="121">
        <v>0.36499999999999999</v>
      </c>
      <c r="I79" s="121">
        <f t="shared" si="15"/>
        <v>0.40150000000000002</v>
      </c>
      <c r="J79" s="121">
        <f t="shared" si="15"/>
        <v>0.40150000000000002</v>
      </c>
      <c r="K79" s="121">
        <f t="shared" si="16"/>
        <v>0.45624999999999999</v>
      </c>
      <c r="L79" s="121">
        <f t="shared" si="16"/>
        <v>0.45624999999999999</v>
      </c>
      <c r="M79" s="121">
        <f t="shared" si="17"/>
        <v>0.47449999999999998</v>
      </c>
      <c r="N79" s="121">
        <f t="shared" si="17"/>
        <v>0.47449999999999998</v>
      </c>
      <c r="O79" s="121">
        <f t="shared" si="18"/>
        <v>0.51100000000000001</v>
      </c>
      <c r="P79" s="121">
        <f t="shared" si="18"/>
        <v>0.51100000000000001</v>
      </c>
      <c r="Q79" s="121">
        <f t="shared" si="19"/>
        <v>0.54749999999999999</v>
      </c>
      <c r="R79" s="121">
        <f t="shared" si="19"/>
        <v>0.54749999999999999</v>
      </c>
      <c r="S79" s="122" t="s">
        <v>193</v>
      </c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1:28">
      <c r="A80" s="117">
        <v>1470</v>
      </c>
      <c r="B80" s="117" t="s">
        <v>179</v>
      </c>
      <c r="C80" s="117" t="s">
        <v>179</v>
      </c>
      <c r="D80" s="123" t="s">
        <v>161</v>
      </c>
      <c r="E80" s="123" t="s">
        <v>161</v>
      </c>
      <c r="F80" s="117" t="s">
        <v>130</v>
      </c>
      <c r="G80" s="121">
        <v>0.375</v>
      </c>
      <c r="H80" s="121">
        <v>0.375</v>
      </c>
      <c r="I80" s="121">
        <f t="shared" si="15"/>
        <v>0.41250000000000003</v>
      </c>
      <c r="J80" s="121">
        <f t="shared" si="15"/>
        <v>0.41250000000000003</v>
      </c>
      <c r="K80" s="121">
        <f t="shared" si="16"/>
        <v>0.46875</v>
      </c>
      <c r="L80" s="121">
        <f t="shared" si="16"/>
        <v>0.46875</v>
      </c>
      <c r="M80" s="121">
        <f t="shared" si="17"/>
        <v>0.48750000000000004</v>
      </c>
      <c r="N80" s="121">
        <f t="shared" si="17"/>
        <v>0.48750000000000004</v>
      </c>
      <c r="O80" s="121">
        <f t="shared" si="18"/>
        <v>0.52499999999999991</v>
      </c>
      <c r="P80" s="121">
        <f t="shared" si="18"/>
        <v>0.52499999999999991</v>
      </c>
      <c r="Q80" s="121">
        <f t="shared" si="19"/>
        <v>0.5625</v>
      </c>
      <c r="R80" s="121">
        <f t="shared" si="19"/>
        <v>0.5625</v>
      </c>
      <c r="S80" s="122" t="s">
        <v>194</v>
      </c>
      <c r="T80" s="108"/>
      <c r="U80" s="108"/>
      <c r="V80" s="108"/>
      <c r="W80" s="108"/>
      <c r="X80" s="108"/>
      <c r="Y80" s="108"/>
      <c r="Z80" s="108"/>
      <c r="AA80" s="108"/>
      <c r="AB80" s="108"/>
    </row>
    <row r="81" spans="1:28">
      <c r="A81" s="117">
        <v>2260</v>
      </c>
      <c r="B81" s="117" t="s">
        <v>132</v>
      </c>
      <c r="C81" s="117" t="s">
        <v>132</v>
      </c>
      <c r="D81" s="123" t="s">
        <v>181</v>
      </c>
      <c r="E81" s="123" t="s">
        <v>181</v>
      </c>
      <c r="F81" s="117" t="s">
        <v>130</v>
      </c>
      <c r="G81" s="121">
        <v>0.39300000000000002</v>
      </c>
      <c r="H81" s="121">
        <v>0.39300000000000002</v>
      </c>
      <c r="I81" s="121">
        <f t="shared" si="15"/>
        <v>0.43230000000000007</v>
      </c>
      <c r="J81" s="121">
        <f t="shared" si="15"/>
        <v>0.43230000000000007</v>
      </c>
      <c r="K81" s="121">
        <f t="shared" si="16"/>
        <v>0.49125000000000002</v>
      </c>
      <c r="L81" s="121">
        <f t="shared" si="16"/>
        <v>0.49125000000000002</v>
      </c>
      <c r="M81" s="121">
        <f t="shared" si="17"/>
        <v>0.51090000000000002</v>
      </c>
      <c r="N81" s="121">
        <f t="shared" si="17"/>
        <v>0.51090000000000002</v>
      </c>
      <c r="O81" s="121">
        <f t="shared" si="18"/>
        <v>0.55020000000000002</v>
      </c>
      <c r="P81" s="121">
        <f t="shared" si="18"/>
        <v>0.55020000000000002</v>
      </c>
      <c r="Q81" s="121">
        <f t="shared" si="19"/>
        <v>0.58950000000000002</v>
      </c>
      <c r="R81" s="121">
        <f t="shared" si="19"/>
        <v>0.58950000000000002</v>
      </c>
      <c r="S81" s="122" t="s">
        <v>405</v>
      </c>
      <c r="T81" s="108"/>
      <c r="U81" s="108"/>
      <c r="V81" s="108"/>
      <c r="W81" s="108"/>
      <c r="X81" s="108"/>
      <c r="Y81" s="108"/>
      <c r="Z81" s="108"/>
      <c r="AA81" s="108"/>
      <c r="AB81" s="108"/>
    </row>
    <row r="82" spans="1:28">
      <c r="A82" s="117">
        <v>2261</v>
      </c>
      <c r="B82" s="117" t="s">
        <v>140</v>
      </c>
      <c r="C82" s="117" t="s">
        <v>140</v>
      </c>
      <c r="D82" s="123" t="s">
        <v>158</v>
      </c>
      <c r="E82" s="123" t="s">
        <v>158</v>
      </c>
      <c r="F82" s="117" t="s">
        <v>130</v>
      </c>
      <c r="G82" s="121">
        <v>0.41</v>
      </c>
      <c r="H82" s="121">
        <v>0.41</v>
      </c>
      <c r="I82" s="121">
        <f t="shared" si="15"/>
        <v>0.45100000000000001</v>
      </c>
      <c r="J82" s="121">
        <f t="shared" si="15"/>
        <v>0.45100000000000001</v>
      </c>
      <c r="K82" s="121">
        <f t="shared" si="16"/>
        <v>0.51249999999999996</v>
      </c>
      <c r="L82" s="121">
        <f t="shared" si="16"/>
        <v>0.51249999999999996</v>
      </c>
      <c r="M82" s="121">
        <f t="shared" si="17"/>
        <v>0.53300000000000003</v>
      </c>
      <c r="N82" s="121">
        <f t="shared" si="17"/>
        <v>0.53300000000000003</v>
      </c>
      <c r="O82" s="121">
        <f t="shared" si="18"/>
        <v>0.57399999999999995</v>
      </c>
      <c r="P82" s="121">
        <f t="shared" si="18"/>
        <v>0.57399999999999995</v>
      </c>
      <c r="Q82" s="121">
        <f t="shared" si="19"/>
        <v>0.61499999999999999</v>
      </c>
      <c r="R82" s="121">
        <f t="shared" si="19"/>
        <v>0.61499999999999999</v>
      </c>
      <c r="S82" s="122" t="s">
        <v>195</v>
      </c>
      <c r="T82" s="108"/>
      <c r="U82" s="108"/>
      <c r="V82" s="108"/>
      <c r="W82" s="108"/>
      <c r="X82" s="108"/>
      <c r="Y82" s="108"/>
      <c r="Z82" s="108"/>
      <c r="AA82" s="108"/>
      <c r="AB82" s="108"/>
    </row>
    <row r="83" spans="1:28">
      <c r="A83" s="117">
        <v>2262</v>
      </c>
      <c r="B83" s="117" t="s">
        <v>170</v>
      </c>
      <c r="C83" s="117" t="s">
        <v>170</v>
      </c>
      <c r="D83" s="123" t="s">
        <v>122</v>
      </c>
      <c r="E83" s="123" t="s">
        <v>122</v>
      </c>
      <c r="F83" s="123" t="s">
        <v>130</v>
      </c>
      <c r="G83" s="117">
        <v>0.47699999999999998</v>
      </c>
      <c r="H83" s="117">
        <v>0.47699999999999998</v>
      </c>
      <c r="I83" s="121">
        <f t="shared" si="15"/>
        <v>0.52470000000000006</v>
      </c>
      <c r="J83" s="121">
        <f t="shared" si="15"/>
        <v>0.52470000000000006</v>
      </c>
      <c r="K83" s="121">
        <f t="shared" si="16"/>
        <v>0.59624999999999995</v>
      </c>
      <c r="L83" s="121">
        <f t="shared" si="16"/>
        <v>0.59624999999999995</v>
      </c>
      <c r="M83" s="121">
        <f t="shared" si="17"/>
        <v>0.62009999999999998</v>
      </c>
      <c r="N83" s="121">
        <f t="shared" si="17"/>
        <v>0.62009999999999998</v>
      </c>
      <c r="O83" s="121">
        <f t="shared" si="18"/>
        <v>0.66779999999999995</v>
      </c>
      <c r="P83" s="121">
        <f t="shared" si="18"/>
        <v>0.66779999999999995</v>
      </c>
      <c r="Q83" s="121">
        <f t="shared" si="19"/>
        <v>0.71550000000000002</v>
      </c>
      <c r="R83" s="121">
        <f t="shared" si="19"/>
        <v>0.71550000000000002</v>
      </c>
      <c r="S83" s="122" t="s">
        <v>184</v>
      </c>
      <c r="T83" s="108"/>
      <c r="U83" s="108"/>
      <c r="V83" s="108"/>
      <c r="W83" s="108"/>
      <c r="X83" s="108"/>
      <c r="Y83" s="108"/>
      <c r="Z83" s="108"/>
      <c r="AA83" s="108"/>
      <c r="AB83" s="108"/>
    </row>
    <row r="84" spans="1:28">
      <c r="A84" s="117">
        <v>2263</v>
      </c>
      <c r="B84" s="117" t="s">
        <v>179</v>
      </c>
      <c r="C84" s="117" t="s">
        <v>179</v>
      </c>
      <c r="D84" s="123" t="s">
        <v>161</v>
      </c>
      <c r="E84" s="123" t="s">
        <v>161</v>
      </c>
      <c r="F84" s="117" t="s">
        <v>130</v>
      </c>
      <c r="G84" s="121">
        <v>0.44</v>
      </c>
      <c r="H84" s="121">
        <v>0.44</v>
      </c>
      <c r="I84" s="121">
        <f t="shared" si="15"/>
        <v>0.48400000000000004</v>
      </c>
      <c r="J84" s="121">
        <f t="shared" si="15"/>
        <v>0.48400000000000004</v>
      </c>
      <c r="K84" s="121">
        <f t="shared" si="16"/>
        <v>0.55000000000000004</v>
      </c>
      <c r="L84" s="121">
        <f t="shared" si="16"/>
        <v>0.55000000000000004</v>
      </c>
      <c r="M84" s="121">
        <f t="shared" si="17"/>
        <v>0.57200000000000006</v>
      </c>
      <c r="N84" s="121">
        <f t="shared" si="17"/>
        <v>0.57200000000000006</v>
      </c>
      <c r="O84" s="121">
        <f t="shared" si="18"/>
        <v>0.61599999999999999</v>
      </c>
      <c r="P84" s="121">
        <f t="shared" si="18"/>
        <v>0.61599999999999999</v>
      </c>
      <c r="Q84" s="121">
        <f t="shared" si="19"/>
        <v>0.66</v>
      </c>
      <c r="R84" s="121">
        <f t="shared" si="19"/>
        <v>0.66</v>
      </c>
      <c r="S84" s="122" t="s">
        <v>196</v>
      </c>
      <c r="T84" s="108"/>
      <c r="U84" s="108"/>
      <c r="V84" s="108"/>
      <c r="W84" s="108"/>
      <c r="X84" s="108"/>
      <c r="Y84" s="108"/>
      <c r="Z84" s="108"/>
      <c r="AA84" s="108"/>
      <c r="AB84" s="108"/>
    </row>
    <row r="85" spans="1:28">
      <c r="A85" s="117">
        <v>2264</v>
      </c>
      <c r="B85" s="117" t="s">
        <v>197</v>
      </c>
      <c r="C85" s="117" t="s">
        <v>197</v>
      </c>
      <c r="D85" s="123" t="s">
        <v>198</v>
      </c>
      <c r="E85" s="123" t="s">
        <v>198</v>
      </c>
      <c r="F85" s="117" t="s">
        <v>130</v>
      </c>
      <c r="G85" s="121">
        <v>0.44</v>
      </c>
      <c r="H85" s="121">
        <v>0.44</v>
      </c>
      <c r="I85" s="121">
        <f t="shared" si="15"/>
        <v>0.48400000000000004</v>
      </c>
      <c r="J85" s="121">
        <f t="shared" si="15"/>
        <v>0.48400000000000004</v>
      </c>
      <c r="K85" s="121">
        <f t="shared" si="16"/>
        <v>0.55000000000000004</v>
      </c>
      <c r="L85" s="121">
        <f t="shared" si="16"/>
        <v>0.55000000000000004</v>
      </c>
      <c r="M85" s="121">
        <f t="shared" si="17"/>
        <v>0.57200000000000006</v>
      </c>
      <c r="N85" s="121">
        <f t="shared" si="17"/>
        <v>0.57200000000000006</v>
      </c>
      <c r="O85" s="121">
        <f t="shared" si="18"/>
        <v>0.61599999999999999</v>
      </c>
      <c r="P85" s="121">
        <f t="shared" si="18"/>
        <v>0.61599999999999999</v>
      </c>
      <c r="Q85" s="121">
        <f t="shared" si="19"/>
        <v>0.66</v>
      </c>
      <c r="R85" s="121">
        <f t="shared" si="19"/>
        <v>0.66</v>
      </c>
      <c r="S85" s="122" t="s">
        <v>199</v>
      </c>
      <c r="T85" s="108"/>
      <c r="U85" s="108"/>
      <c r="V85" s="108"/>
      <c r="W85" s="108"/>
      <c r="X85" s="108"/>
      <c r="Y85" s="108"/>
      <c r="Z85" s="108"/>
      <c r="AA85" s="108"/>
      <c r="AB85" s="108"/>
    </row>
    <row r="87" spans="1:28">
      <c r="I87" s="128"/>
      <c r="J87" s="129"/>
      <c r="K87" s="129"/>
      <c r="L87" s="130" t="s">
        <v>95</v>
      </c>
      <c r="M87" s="129"/>
      <c r="N87" s="129"/>
      <c r="O87" s="129"/>
      <c r="P87" s="129"/>
      <c r="Q87" s="129"/>
      <c r="R87" s="131"/>
      <c r="S87" s="122"/>
      <c r="T87" s="108"/>
      <c r="U87" s="108"/>
      <c r="V87" s="108"/>
      <c r="W87" s="108"/>
      <c r="X87" s="108"/>
      <c r="Y87" s="108"/>
      <c r="Z87" s="108"/>
      <c r="AA87" s="108"/>
      <c r="AB87" s="108"/>
    </row>
    <row r="88" spans="1:28">
      <c r="B88" s="136" t="s">
        <v>435</v>
      </c>
      <c r="C88" s="131"/>
      <c r="D88" s="130" t="s">
        <v>96</v>
      </c>
      <c r="E88" s="129"/>
      <c r="F88" s="143" t="s">
        <v>97</v>
      </c>
      <c r="G88" s="134" t="s">
        <v>98</v>
      </c>
      <c r="H88" s="131"/>
      <c r="I88" s="140">
        <f>$I$6</f>
        <v>1.1000000000000001</v>
      </c>
      <c r="J88" s="145"/>
      <c r="K88" s="124">
        <f>$K$6</f>
        <v>1.25</v>
      </c>
      <c r="L88" s="145"/>
      <c r="M88" s="124">
        <f>$M$6</f>
        <v>1.3</v>
      </c>
      <c r="N88" s="145"/>
      <c r="O88" s="124">
        <f>$O$6</f>
        <v>1.4</v>
      </c>
      <c r="P88" s="145"/>
      <c r="Q88" s="124">
        <f>$Q$6</f>
        <v>1.5</v>
      </c>
      <c r="R88" s="133"/>
      <c r="S88" s="122"/>
      <c r="T88" s="108"/>
      <c r="U88" s="108"/>
      <c r="V88" s="108"/>
      <c r="W88" s="108"/>
      <c r="X88" s="108"/>
      <c r="Y88" s="108"/>
      <c r="Z88" s="108"/>
      <c r="AA88" s="108"/>
      <c r="AB88" s="108"/>
    </row>
    <row r="89" spans="1:28">
      <c r="A89" s="117" t="s">
        <v>103</v>
      </c>
      <c r="B89" s="141" t="s">
        <v>99</v>
      </c>
      <c r="C89" s="142" t="s">
        <v>38</v>
      </c>
      <c r="D89" s="141" t="s">
        <v>99</v>
      </c>
      <c r="E89" s="142" t="s">
        <v>38</v>
      </c>
      <c r="F89" s="137" t="s">
        <v>436</v>
      </c>
      <c r="G89" s="141" t="s">
        <v>99</v>
      </c>
      <c r="H89" s="142" t="s">
        <v>38</v>
      </c>
      <c r="I89" s="138" t="s">
        <v>99</v>
      </c>
      <c r="J89" s="139" t="s">
        <v>38</v>
      </c>
      <c r="K89" s="138" t="s">
        <v>99</v>
      </c>
      <c r="L89" s="139" t="s">
        <v>38</v>
      </c>
      <c r="M89" s="138" t="s">
        <v>99</v>
      </c>
      <c r="N89" s="139" t="s">
        <v>38</v>
      </c>
      <c r="O89" s="138" t="s">
        <v>99</v>
      </c>
      <c r="P89" s="139" t="s">
        <v>38</v>
      </c>
      <c r="Q89" s="138" t="s">
        <v>99</v>
      </c>
      <c r="R89" s="139" t="s">
        <v>38</v>
      </c>
      <c r="S89" s="115" t="s">
        <v>100</v>
      </c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>
      <c r="A90" s="119" t="s">
        <v>200</v>
      </c>
      <c r="B90" s="117" t="s">
        <v>33</v>
      </c>
      <c r="C90" s="117" t="s">
        <v>33</v>
      </c>
      <c r="D90" s="117" t="s">
        <v>33</v>
      </c>
      <c r="E90" s="117" t="s">
        <v>33</v>
      </c>
      <c r="F90" s="117" t="s">
        <v>33</v>
      </c>
      <c r="G90" s="119" t="s">
        <v>11</v>
      </c>
      <c r="H90" s="119" t="s">
        <v>11</v>
      </c>
      <c r="I90" s="119" t="s">
        <v>11</v>
      </c>
      <c r="J90" s="119" t="s">
        <v>11</v>
      </c>
      <c r="K90" s="119" t="s">
        <v>11</v>
      </c>
      <c r="L90" s="119" t="s">
        <v>11</v>
      </c>
      <c r="M90" s="119" t="s">
        <v>11</v>
      </c>
      <c r="N90" s="119" t="s">
        <v>11</v>
      </c>
      <c r="O90" s="119" t="s">
        <v>11</v>
      </c>
      <c r="P90" s="119" t="s">
        <v>11</v>
      </c>
      <c r="Q90" s="119" t="s">
        <v>11</v>
      </c>
      <c r="R90" s="119" t="s">
        <v>11</v>
      </c>
      <c r="T90" s="108"/>
      <c r="U90" s="108"/>
      <c r="V90" s="108"/>
      <c r="W90" s="108"/>
      <c r="X90" s="108"/>
      <c r="Y90" s="108"/>
      <c r="Z90" s="108"/>
      <c r="AA90" s="108"/>
      <c r="AB90" s="108"/>
    </row>
    <row r="91" spans="1:28">
      <c r="A91" s="117" t="s">
        <v>201</v>
      </c>
      <c r="B91" s="117" t="s">
        <v>134</v>
      </c>
      <c r="C91" s="117" t="s">
        <v>134</v>
      </c>
      <c r="D91" s="117" t="s">
        <v>202</v>
      </c>
      <c r="E91" s="117" t="s">
        <v>202</v>
      </c>
      <c r="F91" s="117" t="s">
        <v>130</v>
      </c>
      <c r="G91" s="121">
        <v>0.42</v>
      </c>
      <c r="H91" s="121">
        <v>0.42</v>
      </c>
      <c r="I91" s="121">
        <f t="shared" ref="I91:J124" si="20">$I$6*G91</f>
        <v>0.46200000000000002</v>
      </c>
      <c r="J91" s="121">
        <f t="shared" si="20"/>
        <v>0.46200000000000002</v>
      </c>
      <c r="K91" s="121">
        <f t="shared" ref="K91:L124" si="21">$K$6*G91</f>
        <v>0.52500000000000002</v>
      </c>
      <c r="L91" s="121">
        <f t="shared" si="21"/>
        <v>0.52500000000000002</v>
      </c>
      <c r="M91" s="121">
        <f t="shared" ref="M91:N124" si="22">$M$6*G91</f>
        <v>0.54600000000000004</v>
      </c>
      <c r="N91" s="121">
        <f t="shared" si="22"/>
        <v>0.54600000000000004</v>
      </c>
      <c r="O91" s="121">
        <f t="shared" ref="O91:P124" si="23">$O$6*G91</f>
        <v>0.58799999999999997</v>
      </c>
      <c r="P91" s="121">
        <f t="shared" si="23"/>
        <v>0.58799999999999997</v>
      </c>
      <c r="Q91" s="121">
        <f t="shared" ref="Q91:R124" si="24">$Q$6*G91</f>
        <v>0.63</v>
      </c>
      <c r="R91" s="121">
        <f t="shared" si="24"/>
        <v>0.63</v>
      </c>
      <c r="S91" s="118" t="s">
        <v>385</v>
      </c>
      <c r="T91" s="108"/>
      <c r="U91" s="108"/>
      <c r="V91" s="108"/>
      <c r="W91" s="108"/>
      <c r="X91" s="108"/>
      <c r="Y91" s="108"/>
      <c r="Z91" s="108"/>
      <c r="AA91" s="108"/>
      <c r="AB91" s="108"/>
    </row>
    <row r="92" spans="1:28" s="148" customFormat="1">
      <c r="A92" s="146" t="s">
        <v>203</v>
      </c>
      <c r="B92" s="146" t="s">
        <v>175</v>
      </c>
      <c r="C92" s="146" t="s">
        <v>175</v>
      </c>
      <c r="D92" s="146" t="s">
        <v>144</v>
      </c>
      <c r="E92" s="146" t="s">
        <v>144</v>
      </c>
      <c r="F92" s="146" t="s">
        <v>130</v>
      </c>
      <c r="G92" s="147">
        <v>0.435</v>
      </c>
      <c r="H92" s="147">
        <v>0.435</v>
      </c>
      <c r="I92" s="147">
        <f t="shared" si="20"/>
        <v>0.47850000000000004</v>
      </c>
      <c r="J92" s="147">
        <f t="shared" si="20"/>
        <v>0.47850000000000004</v>
      </c>
      <c r="K92" s="147">
        <f t="shared" si="21"/>
        <v>0.54374999999999996</v>
      </c>
      <c r="L92" s="147">
        <f t="shared" si="21"/>
        <v>0.54374999999999996</v>
      </c>
      <c r="M92" s="147">
        <f t="shared" si="22"/>
        <v>0.5655</v>
      </c>
      <c r="N92" s="147">
        <f t="shared" si="22"/>
        <v>0.5655</v>
      </c>
      <c r="O92" s="147">
        <f t="shared" si="23"/>
        <v>0.60899999999999999</v>
      </c>
      <c r="P92" s="147">
        <f t="shared" si="23"/>
        <v>0.60899999999999999</v>
      </c>
      <c r="Q92" s="147">
        <f t="shared" si="24"/>
        <v>0.65249999999999997</v>
      </c>
      <c r="R92" s="147">
        <f t="shared" si="24"/>
        <v>0.65249999999999997</v>
      </c>
      <c r="S92" s="167" t="s">
        <v>382</v>
      </c>
    </row>
    <row r="93" spans="1:28">
      <c r="A93" s="117" t="s">
        <v>204</v>
      </c>
      <c r="B93" s="117" t="s">
        <v>146</v>
      </c>
      <c r="C93" s="117" t="s">
        <v>146</v>
      </c>
      <c r="D93" s="117" t="s">
        <v>147</v>
      </c>
      <c r="E93" s="117" t="s">
        <v>147</v>
      </c>
      <c r="F93" s="117" t="s">
        <v>130</v>
      </c>
      <c r="G93" s="121">
        <v>0.42899999999999999</v>
      </c>
      <c r="H93" s="121">
        <v>0.42899999999999999</v>
      </c>
      <c r="I93" s="121">
        <f t="shared" si="20"/>
        <v>0.47190000000000004</v>
      </c>
      <c r="J93" s="121">
        <f t="shared" si="20"/>
        <v>0.47190000000000004</v>
      </c>
      <c r="K93" s="121">
        <f t="shared" si="21"/>
        <v>0.53625</v>
      </c>
      <c r="L93" s="121">
        <f t="shared" si="21"/>
        <v>0.53625</v>
      </c>
      <c r="M93" s="121">
        <f t="shared" si="22"/>
        <v>0.55769999999999997</v>
      </c>
      <c r="N93" s="121">
        <f t="shared" si="22"/>
        <v>0.55769999999999997</v>
      </c>
      <c r="O93" s="121">
        <f t="shared" si="23"/>
        <v>0.60059999999999991</v>
      </c>
      <c r="P93" s="121">
        <f t="shared" si="23"/>
        <v>0.60059999999999991</v>
      </c>
      <c r="Q93" s="121">
        <f t="shared" si="24"/>
        <v>0.64349999999999996</v>
      </c>
      <c r="R93" s="121">
        <f t="shared" si="24"/>
        <v>0.64349999999999996</v>
      </c>
      <c r="S93" s="122" t="s">
        <v>399</v>
      </c>
      <c r="T93" s="108"/>
      <c r="U93" s="108"/>
      <c r="V93" s="108"/>
      <c r="W93" s="108"/>
      <c r="X93" s="108"/>
      <c r="Y93" s="108"/>
      <c r="Z93" s="108"/>
      <c r="AA93" s="108"/>
      <c r="AB93" s="108"/>
    </row>
    <row r="94" spans="1:28">
      <c r="A94" s="117" t="s">
        <v>205</v>
      </c>
      <c r="B94" s="117" t="s">
        <v>119</v>
      </c>
      <c r="C94" s="117" t="s">
        <v>119</v>
      </c>
      <c r="D94" s="117" t="s">
        <v>128</v>
      </c>
      <c r="E94" s="117" t="s">
        <v>128</v>
      </c>
      <c r="F94" s="117" t="s">
        <v>130</v>
      </c>
      <c r="G94" s="121">
        <v>0.46100000000000002</v>
      </c>
      <c r="H94" s="121">
        <v>0.46100000000000002</v>
      </c>
      <c r="I94" s="121">
        <f t="shared" si="20"/>
        <v>0.50710000000000011</v>
      </c>
      <c r="J94" s="121">
        <f t="shared" si="20"/>
        <v>0.50710000000000011</v>
      </c>
      <c r="K94" s="121">
        <f t="shared" si="21"/>
        <v>0.57625000000000004</v>
      </c>
      <c r="L94" s="121">
        <f t="shared" si="21"/>
        <v>0.57625000000000004</v>
      </c>
      <c r="M94" s="121">
        <f t="shared" si="22"/>
        <v>0.59930000000000005</v>
      </c>
      <c r="N94" s="121">
        <f t="shared" si="22"/>
        <v>0.59930000000000005</v>
      </c>
      <c r="O94" s="121">
        <f t="shared" si="23"/>
        <v>0.64539999999999997</v>
      </c>
      <c r="P94" s="121">
        <f t="shared" si="23"/>
        <v>0.64539999999999997</v>
      </c>
      <c r="Q94" s="121">
        <f t="shared" si="24"/>
        <v>0.6915</v>
      </c>
      <c r="R94" s="121">
        <f t="shared" si="24"/>
        <v>0.6915</v>
      </c>
      <c r="S94" s="118" t="s">
        <v>386</v>
      </c>
      <c r="T94" s="108"/>
      <c r="U94" s="108"/>
      <c r="V94" s="108"/>
      <c r="W94" s="108"/>
      <c r="X94" s="108"/>
      <c r="Y94" s="108"/>
      <c r="Z94" s="108"/>
      <c r="AA94" s="108"/>
      <c r="AB94" s="108"/>
    </row>
    <row r="95" spans="1:28">
      <c r="A95" s="117" t="s">
        <v>206</v>
      </c>
      <c r="B95" s="117" t="s">
        <v>207</v>
      </c>
      <c r="C95" s="117" t="s">
        <v>207</v>
      </c>
      <c r="D95" s="117" t="s">
        <v>140</v>
      </c>
      <c r="E95" s="117" t="s">
        <v>140</v>
      </c>
      <c r="F95" s="117" t="s">
        <v>130</v>
      </c>
      <c r="G95" s="121">
        <v>0.44800000000000001</v>
      </c>
      <c r="H95" s="121">
        <v>0.44800000000000001</v>
      </c>
      <c r="I95" s="121">
        <f t="shared" si="20"/>
        <v>0.49280000000000007</v>
      </c>
      <c r="J95" s="121">
        <f t="shared" si="20"/>
        <v>0.49280000000000007</v>
      </c>
      <c r="K95" s="121">
        <f t="shared" si="21"/>
        <v>0.56000000000000005</v>
      </c>
      <c r="L95" s="121">
        <f t="shared" si="21"/>
        <v>0.56000000000000005</v>
      </c>
      <c r="M95" s="121">
        <f t="shared" si="22"/>
        <v>0.58240000000000003</v>
      </c>
      <c r="N95" s="121">
        <f t="shared" si="22"/>
        <v>0.58240000000000003</v>
      </c>
      <c r="O95" s="121">
        <f t="shared" si="23"/>
        <v>0.62719999999999998</v>
      </c>
      <c r="P95" s="121">
        <f t="shared" si="23"/>
        <v>0.62719999999999998</v>
      </c>
      <c r="Q95" s="121">
        <f t="shared" si="24"/>
        <v>0.67200000000000004</v>
      </c>
      <c r="R95" s="121">
        <f t="shared" si="24"/>
        <v>0.67200000000000004</v>
      </c>
      <c r="S95" s="122" t="s">
        <v>208</v>
      </c>
      <c r="T95" s="108"/>
      <c r="U95" s="108"/>
      <c r="V95" s="108"/>
      <c r="W95" s="108"/>
      <c r="X95" s="108"/>
      <c r="Y95" s="108"/>
      <c r="Z95" s="108"/>
      <c r="AA95" s="108"/>
      <c r="AB95" s="108"/>
    </row>
    <row r="96" spans="1:28" s="148" customFormat="1">
      <c r="A96" s="146" t="s">
        <v>209</v>
      </c>
      <c r="B96" s="146" t="s">
        <v>111</v>
      </c>
      <c r="C96" s="146" t="s">
        <v>111</v>
      </c>
      <c r="D96" s="146" t="s">
        <v>133</v>
      </c>
      <c r="E96" s="146" t="s">
        <v>133</v>
      </c>
      <c r="F96" s="146" t="s">
        <v>130</v>
      </c>
      <c r="G96" s="147">
        <v>0.38300000000000001</v>
      </c>
      <c r="H96" s="147">
        <v>0.38300000000000001</v>
      </c>
      <c r="I96" s="147">
        <f t="shared" si="20"/>
        <v>0.42130000000000006</v>
      </c>
      <c r="J96" s="147">
        <f t="shared" si="20"/>
        <v>0.42130000000000006</v>
      </c>
      <c r="K96" s="147">
        <f t="shared" si="21"/>
        <v>0.47875000000000001</v>
      </c>
      <c r="L96" s="147">
        <f t="shared" si="21"/>
        <v>0.47875000000000001</v>
      </c>
      <c r="M96" s="147">
        <f t="shared" si="22"/>
        <v>0.49790000000000001</v>
      </c>
      <c r="N96" s="147">
        <f t="shared" si="22"/>
        <v>0.49790000000000001</v>
      </c>
      <c r="O96" s="147">
        <f t="shared" si="23"/>
        <v>0.53620000000000001</v>
      </c>
      <c r="P96" s="147">
        <f t="shared" si="23"/>
        <v>0.53620000000000001</v>
      </c>
      <c r="Q96" s="147">
        <f t="shared" si="24"/>
        <v>0.57450000000000001</v>
      </c>
      <c r="R96" s="147">
        <f t="shared" si="24"/>
        <v>0.57450000000000001</v>
      </c>
      <c r="S96" s="167" t="s">
        <v>415</v>
      </c>
    </row>
    <row r="97" spans="1:28" s="148" customFormat="1">
      <c r="A97" s="146" t="s">
        <v>210</v>
      </c>
      <c r="B97" s="146" t="s">
        <v>112</v>
      </c>
      <c r="C97" s="146" t="s">
        <v>112</v>
      </c>
      <c r="D97" s="146" t="s">
        <v>211</v>
      </c>
      <c r="E97" s="146" t="s">
        <v>211</v>
      </c>
      <c r="F97" s="146" t="s">
        <v>130</v>
      </c>
      <c r="G97" s="147">
        <v>0.39200000000000002</v>
      </c>
      <c r="H97" s="147">
        <v>0.39200000000000002</v>
      </c>
      <c r="I97" s="147">
        <f t="shared" si="20"/>
        <v>0.43120000000000003</v>
      </c>
      <c r="J97" s="147">
        <f t="shared" si="20"/>
        <v>0.43120000000000003</v>
      </c>
      <c r="K97" s="147">
        <f t="shared" si="21"/>
        <v>0.49</v>
      </c>
      <c r="L97" s="147">
        <f t="shared" si="21"/>
        <v>0.49</v>
      </c>
      <c r="M97" s="147">
        <f t="shared" si="22"/>
        <v>0.50960000000000005</v>
      </c>
      <c r="N97" s="147">
        <f t="shared" si="22"/>
        <v>0.50960000000000005</v>
      </c>
      <c r="O97" s="147">
        <f t="shared" si="23"/>
        <v>0.54879999999999995</v>
      </c>
      <c r="P97" s="147">
        <f t="shared" si="23"/>
        <v>0.54879999999999995</v>
      </c>
      <c r="Q97" s="147">
        <f t="shared" si="24"/>
        <v>0.58800000000000008</v>
      </c>
      <c r="R97" s="147">
        <f t="shared" si="24"/>
        <v>0.58800000000000008</v>
      </c>
      <c r="S97" s="167" t="s">
        <v>441</v>
      </c>
    </row>
    <row r="98" spans="1:28" s="148" customFormat="1" ht="20">
      <c r="A98" s="146" t="s">
        <v>212</v>
      </c>
      <c r="B98" s="146" t="s">
        <v>213</v>
      </c>
      <c r="C98" s="146" t="s">
        <v>213</v>
      </c>
      <c r="D98" s="146" t="s">
        <v>214</v>
      </c>
      <c r="E98" s="146" t="s">
        <v>214</v>
      </c>
      <c r="F98" s="146" t="s">
        <v>130</v>
      </c>
      <c r="G98" s="147">
        <v>0.39700000000000002</v>
      </c>
      <c r="H98" s="147">
        <v>0.39700000000000002</v>
      </c>
      <c r="I98" s="147">
        <f t="shared" si="20"/>
        <v>0.43670000000000003</v>
      </c>
      <c r="J98" s="147">
        <f t="shared" si="20"/>
        <v>0.43670000000000003</v>
      </c>
      <c r="K98" s="147">
        <f t="shared" si="21"/>
        <v>0.49625000000000002</v>
      </c>
      <c r="L98" s="147">
        <f t="shared" si="21"/>
        <v>0.49625000000000002</v>
      </c>
      <c r="M98" s="147">
        <f t="shared" si="22"/>
        <v>0.5161</v>
      </c>
      <c r="N98" s="147">
        <f t="shared" si="22"/>
        <v>0.5161</v>
      </c>
      <c r="O98" s="147">
        <f t="shared" si="23"/>
        <v>0.55579999999999996</v>
      </c>
      <c r="P98" s="147">
        <f t="shared" si="23"/>
        <v>0.55579999999999996</v>
      </c>
      <c r="Q98" s="147">
        <f t="shared" si="24"/>
        <v>0.59550000000000003</v>
      </c>
      <c r="R98" s="147">
        <f t="shared" si="24"/>
        <v>0.59550000000000003</v>
      </c>
      <c r="S98" s="167" t="s">
        <v>419</v>
      </c>
    </row>
    <row r="99" spans="1:28">
      <c r="A99" s="117" t="s">
        <v>215</v>
      </c>
      <c r="B99" s="117" t="s">
        <v>166</v>
      </c>
      <c r="C99" s="117" t="s">
        <v>166</v>
      </c>
      <c r="D99" s="117" t="s">
        <v>128</v>
      </c>
      <c r="E99" s="117" t="s">
        <v>128</v>
      </c>
      <c r="F99" s="117" t="s">
        <v>130</v>
      </c>
      <c r="G99" s="121">
        <v>0.41799999999999998</v>
      </c>
      <c r="H99" s="121">
        <v>0.41799999999999998</v>
      </c>
      <c r="I99" s="121">
        <f t="shared" si="20"/>
        <v>0.45980000000000004</v>
      </c>
      <c r="J99" s="121">
        <f t="shared" si="20"/>
        <v>0.45980000000000004</v>
      </c>
      <c r="K99" s="121">
        <f t="shared" si="21"/>
        <v>0.52249999999999996</v>
      </c>
      <c r="L99" s="121">
        <f t="shared" si="21"/>
        <v>0.52249999999999996</v>
      </c>
      <c r="M99" s="121">
        <f t="shared" si="22"/>
        <v>0.54339999999999999</v>
      </c>
      <c r="N99" s="121">
        <f t="shared" si="22"/>
        <v>0.54339999999999999</v>
      </c>
      <c r="O99" s="121">
        <f t="shared" si="23"/>
        <v>0.58519999999999994</v>
      </c>
      <c r="P99" s="121">
        <f t="shared" si="23"/>
        <v>0.58519999999999994</v>
      </c>
      <c r="Q99" s="121">
        <f t="shared" si="24"/>
        <v>0.627</v>
      </c>
      <c r="R99" s="121">
        <f t="shared" si="24"/>
        <v>0.627</v>
      </c>
      <c r="S99" s="122" t="s">
        <v>208</v>
      </c>
      <c r="T99" s="108"/>
      <c r="U99" s="108"/>
      <c r="V99" s="108"/>
      <c r="W99" s="108"/>
      <c r="X99" s="108"/>
      <c r="Y99" s="108"/>
      <c r="Z99" s="108"/>
      <c r="AA99" s="108"/>
      <c r="AB99" s="108"/>
    </row>
    <row r="100" spans="1:28">
      <c r="A100" s="117" t="s">
        <v>216</v>
      </c>
      <c r="B100" s="117" t="s">
        <v>167</v>
      </c>
      <c r="C100" s="117" t="s">
        <v>167</v>
      </c>
      <c r="D100" s="117" t="s">
        <v>217</v>
      </c>
      <c r="E100" s="117" t="s">
        <v>217</v>
      </c>
      <c r="F100" s="117" t="s">
        <v>130</v>
      </c>
      <c r="G100" s="121">
        <v>0.41899999999999998</v>
      </c>
      <c r="H100" s="121">
        <v>0.41899999999999998</v>
      </c>
      <c r="I100" s="121">
        <f t="shared" si="20"/>
        <v>0.46090000000000003</v>
      </c>
      <c r="J100" s="121">
        <f t="shared" si="20"/>
        <v>0.46090000000000003</v>
      </c>
      <c r="K100" s="121">
        <f t="shared" si="21"/>
        <v>0.52374999999999994</v>
      </c>
      <c r="L100" s="121">
        <f t="shared" si="21"/>
        <v>0.52374999999999994</v>
      </c>
      <c r="M100" s="121">
        <f t="shared" si="22"/>
        <v>0.54469999999999996</v>
      </c>
      <c r="N100" s="121">
        <f t="shared" si="22"/>
        <v>0.54469999999999996</v>
      </c>
      <c r="O100" s="121">
        <f t="shared" si="23"/>
        <v>0.5865999999999999</v>
      </c>
      <c r="P100" s="121">
        <f t="shared" si="23"/>
        <v>0.5865999999999999</v>
      </c>
      <c r="Q100" s="121">
        <f t="shared" si="24"/>
        <v>0.62849999999999995</v>
      </c>
      <c r="R100" s="121">
        <f t="shared" si="24"/>
        <v>0.62849999999999995</v>
      </c>
      <c r="S100" s="122" t="s">
        <v>208</v>
      </c>
      <c r="T100" s="108"/>
      <c r="U100" s="108"/>
      <c r="V100" s="108"/>
      <c r="W100" s="108"/>
      <c r="X100" s="108"/>
      <c r="Y100" s="108"/>
      <c r="Z100" s="108"/>
      <c r="AA100" s="108"/>
      <c r="AB100" s="108"/>
    </row>
    <row r="101" spans="1:28">
      <c r="A101" s="117" t="s">
        <v>218</v>
      </c>
      <c r="B101" s="117" t="s">
        <v>219</v>
      </c>
      <c r="C101" s="117" t="s">
        <v>219</v>
      </c>
      <c r="D101" s="117" t="s">
        <v>134</v>
      </c>
      <c r="E101" s="117" t="s">
        <v>134</v>
      </c>
      <c r="F101" s="117" t="s">
        <v>130</v>
      </c>
      <c r="G101" s="121">
        <v>0.42399999999999999</v>
      </c>
      <c r="H101" s="121">
        <v>0.42399999999999999</v>
      </c>
      <c r="I101" s="121">
        <f t="shared" si="20"/>
        <v>0.46640000000000004</v>
      </c>
      <c r="J101" s="121">
        <f t="shared" si="20"/>
        <v>0.46640000000000004</v>
      </c>
      <c r="K101" s="121">
        <f t="shared" si="21"/>
        <v>0.53</v>
      </c>
      <c r="L101" s="121">
        <f t="shared" si="21"/>
        <v>0.53</v>
      </c>
      <c r="M101" s="121">
        <f t="shared" si="22"/>
        <v>0.55120000000000002</v>
      </c>
      <c r="N101" s="121">
        <f t="shared" si="22"/>
        <v>0.55120000000000002</v>
      </c>
      <c r="O101" s="121">
        <f t="shared" si="23"/>
        <v>0.59359999999999991</v>
      </c>
      <c r="P101" s="121">
        <f t="shared" si="23"/>
        <v>0.59359999999999991</v>
      </c>
      <c r="Q101" s="121">
        <f t="shared" si="24"/>
        <v>0.63600000000000001</v>
      </c>
      <c r="R101" s="121">
        <f t="shared" si="24"/>
        <v>0.63600000000000001</v>
      </c>
      <c r="S101" s="122" t="s">
        <v>220</v>
      </c>
      <c r="T101" s="108"/>
      <c r="U101" s="108"/>
      <c r="V101" s="108"/>
      <c r="W101" s="108"/>
      <c r="X101" s="108"/>
      <c r="Y101" s="108"/>
      <c r="Z101" s="108"/>
      <c r="AA101" s="108"/>
      <c r="AB101" s="108"/>
    </row>
    <row r="102" spans="1:28">
      <c r="A102" s="117" t="s">
        <v>221</v>
      </c>
      <c r="B102" s="117" t="s">
        <v>112</v>
      </c>
      <c r="C102" s="117" t="s">
        <v>111</v>
      </c>
      <c r="D102" s="117" t="s">
        <v>211</v>
      </c>
      <c r="E102" s="117" t="s">
        <v>133</v>
      </c>
      <c r="F102" s="117" t="s">
        <v>222</v>
      </c>
      <c r="G102" s="121">
        <v>0.39200000000000002</v>
      </c>
      <c r="H102" s="121">
        <v>0.38300000000000001</v>
      </c>
      <c r="I102" s="121">
        <f t="shared" si="20"/>
        <v>0.43120000000000003</v>
      </c>
      <c r="J102" s="121">
        <f t="shared" si="20"/>
        <v>0.42130000000000006</v>
      </c>
      <c r="K102" s="121">
        <f t="shared" si="21"/>
        <v>0.49</v>
      </c>
      <c r="L102" s="121">
        <f t="shared" si="21"/>
        <v>0.47875000000000001</v>
      </c>
      <c r="M102" s="121">
        <f t="shared" si="22"/>
        <v>0.50960000000000005</v>
      </c>
      <c r="N102" s="121">
        <f t="shared" si="22"/>
        <v>0.49790000000000001</v>
      </c>
      <c r="O102" s="121">
        <f t="shared" si="23"/>
        <v>0.54879999999999995</v>
      </c>
      <c r="P102" s="121">
        <f t="shared" si="23"/>
        <v>0.53620000000000001</v>
      </c>
      <c r="Q102" s="121">
        <f t="shared" si="24"/>
        <v>0.58800000000000008</v>
      </c>
      <c r="R102" s="121">
        <f t="shared" si="24"/>
        <v>0.57450000000000001</v>
      </c>
      <c r="S102" s="122" t="s">
        <v>423</v>
      </c>
      <c r="T102" s="108"/>
      <c r="U102" s="108"/>
      <c r="V102" s="108"/>
      <c r="W102" s="108"/>
      <c r="X102" s="108"/>
      <c r="Y102" s="108"/>
      <c r="Z102" s="108"/>
      <c r="AA102" s="108"/>
      <c r="AB102" s="108"/>
    </row>
    <row r="103" spans="1:28">
      <c r="A103" s="117" t="s">
        <v>223</v>
      </c>
      <c r="B103" s="117" t="s">
        <v>213</v>
      </c>
      <c r="C103" s="117" t="s">
        <v>112</v>
      </c>
      <c r="D103" s="117" t="s">
        <v>214</v>
      </c>
      <c r="E103" s="117" t="s">
        <v>211</v>
      </c>
      <c r="F103" s="117" t="s">
        <v>222</v>
      </c>
      <c r="G103" s="121">
        <v>0.39700000000000002</v>
      </c>
      <c r="H103" s="121">
        <v>0.39200000000000002</v>
      </c>
      <c r="I103" s="121">
        <f t="shared" si="20"/>
        <v>0.43670000000000003</v>
      </c>
      <c r="J103" s="121">
        <f t="shared" si="20"/>
        <v>0.43120000000000003</v>
      </c>
      <c r="K103" s="121">
        <f t="shared" si="21"/>
        <v>0.49625000000000002</v>
      </c>
      <c r="L103" s="121">
        <f t="shared" si="21"/>
        <v>0.49</v>
      </c>
      <c r="M103" s="121">
        <f t="shared" si="22"/>
        <v>0.5161</v>
      </c>
      <c r="N103" s="121">
        <f t="shared" si="22"/>
        <v>0.50960000000000005</v>
      </c>
      <c r="O103" s="121">
        <f t="shared" si="23"/>
        <v>0.55579999999999996</v>
      </c>
      <c r="P103" s="121">
        <f t="shared" si="23"/>
        <v>0.54879999999999995</v>
      </c>
      <c r="Q103" s="121">
        <f t="shared" si="24"/>
        <v>0.59550000000000003</v>
      </c>
      <c r="R103" s="121">
        <f t="shared" si="24"/>
        <v>0.58800000000000008</v>
      </c>
      <c r="S103" s="122" t="s">
        <v>422</v>
      </c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spans="1:28">
      <c r="A104" s="117" t="s">
        <v>224</v>
      </c>
      <c r="B104" s="117" t="s">
        <v>167</v>
      </c>
      <c r="C104" s="117" t="s">
        <v>166</v>
      </c>
      <c r="D104" s="117" t="s">
        <v>217</v>
      </c>
      <c r="E104" s="117" t="s">
        <v>128</v>
      </c>
      <c r="F104" s="117" t="s">
        <v>222</v>
      </c>
      <c r="G104" s="121">
        <v>0.41899999999999998</v>
      </c>
      <c r="H104" s="121">
        <v>0.41799999999999998</v>
      </c>
      <c r="I104" s="121">
        <f t="shared" si="20"/>
        <v>0.46090000000000003</v>
      </c>
      <c r="J104" s="121">
        <f t="shared" si="20"/>
        <v>0.45980000000000004</v>
      </c>
      <c r="K104" s="121">
        <f t="shared" si="21"/>
        <v>0.52374999999999994</v>
      </c>
      <c r="L104" s="121">
        <f t="shared" si="21"/>
        <v>0.52249999999999996</v>
      </c>
      <c r="M104" s="121">
        <f t="shared" si="22"/>
        <v>0.54469999999999996</v>
      </c>
      <c r="N104" s="121">
        <f t="shared" si="22"/>
        <v>0.54339999999999999</v>
      </c>
      <c r="O104" s="121">
        <f t="shared" si="23"/>
        <v>0.5865999999999999</v>
      </c>
      <c r="P104" s="121">
        <f t="shared" si="23"/>
        <v>0.58519999999999994</v>
      </c>
      <c r="Q104" s="121">
        <f t="shared" si="24"/>
        <v>0.62849999999999995</v>
      </c>
      <c r="R104" s="121">
        <f t="shared" si="24"/>
        <v>0.627</v>
      </c>
      <c r="S104" s="122" t="s">
        <v>421</v>
      </c>
      <c r="T104" s="108"/>
      <c r="U104" s="108"/>
      <c r="V104" s="108"/>
      <c r="W104" s="108"/>
      <c r="X104" s="108"/>
      <c r="Y104" s="108"/>
      <c r="Z104" s="108"/>
      <c r="AA104" s="108"/>
      <c r="AB104" s="108"/>
    </row>
    <row r="105" spans="1:28" ht="20">
      <c r="A105" s="117" t="s">
        <v>225</v>
      </c>
      <c r="B105" s="117" t="s">
        <v>179</v>
      </c>
      <c r="C105" s="117" t="s">
        <v>179</v>
      </c>
      <c r="D105" s="117" t="s">
        <v>101</v>
      </c>
      <c r="E105" s="117" t="s">
        <v>101</v>
      </c>
      <c r="F105" s="117" t="s">
        <v>130</v>
      </c>
      <c r="G105" s="121">
        <v>0.35699999999999998</v>
      </c>
      <c r="H105" s="121">
        <v>0.35699999999999998</v>
      </c>
      <c r="I105" s="121">
        <f t="shared" si="20"/>
        <v>0.39269999999999999</v>
      </c>
      <c r="J105" s="121">
        <f t="shared" si="20"/>
        <v>0.39269999999999999</v>
      </c>
      <c r="K105" s="121">
        <f t="shared" si="21"/>
        <v>0.44624999999999998</v>
      </c>
      <c r="L105" s="121">
        <f t="shared" si="21"/>
        <v>0.44624999999999998</v>
      </c>
      <c r="M105" s="121">
        <f t="shared" si="22"/>
        <v>0.46410000000000001</v>
      </c>
      <c r="N105" s="121">
        <f t="shared" si="22"/>
        <v>0.46410000000000001</v>
      </c>
      <c r="O105" s="121">
        <f t="shared" si="23"/>
        <v>0.49979999999999997</v>
      </c>
      <c r="P105" s="121">
        <f t="shared" si="23"/>
        <v>0.49979999999999997</v>
      </c>
      <c r="Q105" s="121">
        <f t="shared" si="24"/>
        <v>0.53549999999999998</v>
      </c>
      <c r="R105" s="121">
        <f t="shared" si="24"/>
        <v>0.53549999999999998</v>
      </c>
      <c r="S105" s="118" t="s">
        <v>402</v>
      </c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spans="1:28">
      <c r="A106" s="117" t="s">
        <v>226</v>
      </c>
      <c r="B106" s="117" t="s">
        <v>119</v>
      </c>
      <c r="C106" s="117" t="s">
        <v>119</v>
      </c>
      <c r="D106" s="117" t="s">
        <v>132</v>
      </c>
      <c r="E106" s="117" t="s">
        <v>132</v>
      </c>
      <c r="F106" s="117" t="s">
        <v>130</v>
      </c>
      <c r="G106" s="121">
        <v>0.38200000000000001</v>
      </c>
      <c r="H106" s="121">
        <v>0.38200000000000001</v>
      </c>
      <c r="I106" s="121">
        <f t="shared" si="20"/>
        <v>0.42020000000000002</v>
      </c>
      <c r="J106" s="121">
        <f t="shared" si="20"/>
        <v>0.42020000000000002</v>
      </c>
      <c r="K106" s="121">
        <f t="shared" si="21"/>
        <v>0.47750000000000004</v>
      </c>
      <c r="L106" s="121">
        <f t="shared" si="21"/>
        <v>0.47750000000000004</v>
      </c>
      <c r="M106" s="121">
        <f t="shared" si="22"/>
        <v>0.49660000000000004</v>
      </c>
      <c r="N106" s="121">
        <f t="shared" si="22"/>
        <v>0.49660000000000004</v>
      </c>
      <c r="O106" s="121">
        <f t="shared" si="23"/>
        <v>0.53479999999999994</v>
      </c>
      <c r="P106" s="121">
        <f t="shared" si="23"/>
        <v>0.53479999999999994</v>
      </c>
      <c r="Q106" s="121">
        <f t="shared" si="24"/>
        <v>0.57299999999999995</v>
      </c>
      <c r="R106" s="121">
        <f t="shared" si="24"/>
        <v>0.57299999999999995</v>
      </c>
      <c r="S106" s="118" t="s">
        <v>227</v>
      </c>
      <c r="T106" s="108"/>
      <c r="U106" s="108"/>
      <c r="V106" s="108"/>
      <c r="W106" s="108"/>
      <c r="X106" s="108"/>
      <c r="Y106" s="108"/>
      <c r="Z106" s="108"/>
      <c r="AA106" s="108"/>
      <c r="AB106" s="108"/>
    </row>
    <row r="107" spans="1:28">
      <c r="A107" s="117" t="s">
        <v>228</v>
      </c>
      <c r="B107" s="117" t="s">
        <v>176</v>
      </c>
      <c r="C107" s="117" t="s">
        <v>176</v>
      </c>
      <c r="D107" s="117" t="s">
        <v>132</v>
      </c>
      <c r="E107" s="117" t="s">
        <v>132</v>
      </c>
      <c r="F107" s="117" t="s">
        <v>130</v>
      </c>
      <c r="G107" s="121">
        <v>0.38500000000000001</v>
      </c>
      <c r="H107" s="121">
        <v>0.38500000000000001</v>
      </c>
      <c r="I107" s="121">
        <f t="shared" si="20"/>
        <v>0.42350000000000004</v>
      </c>
      <c r="J107" s="121">
        <f t="shared" si="20"/>
        <v>0.42350000000000004</v>
      </c>
      <c r="K107" s="121">
        <f t="shared" si="21"/>
        <v>0.48125000000000001</v>
      </c>
      <c r="L107" s="121">
        <f t="shared" si="21"/>
        <v>0.48125000000000001</v>
      </c>
      <c r="M107" s="121">
        <f t="shared" si="22"/>
        <v>0.50050000000000006</v>
      </c>
      <c r="N107" s="121">
        <f t="shared" si="22"/>
        <v>0.50050000000000006</v>
      </c>
      <c r="O107" s="121">
        <f t="shared" si="23"/>
        <v>0.53899999999999992</v>
      </c>
      <c r="P107" s="121">
        <f t="shared" si="23"/>
        <v>0.53899999999999992</v>
      </c>
      <c r="Q107" s="121">
        <f t="shared" si="24"/>
        <v>0.57750000000000001</v>
      </c>
      <c r="R107" s="121">
        <f t="shared" si="24"/>
        <v>0.57750000000000001</v>
      </c>
      <c r="S107" s="122" t="s">
        <v>208</v>
      </c>
      <c r="T107" s="108"/>
      <c r="U107" s="108"/>
      <c r="V107" s="108"/>
      <c r="W107" s="108"/>
      <c r="X107" s="108"/>
      <c r="Y107" s="108"/>
      <c r="Z107" s="108"/>
      <c r="AA107" s="108"/>
      <c r="AB107" s="108"/>
    </row>
    <row r="108" spans="1:28" ht="20">
      <c r="A108" s="117" t="s">
        <v>229</v>
      </c>
      <c r="B108" s="117" t="s">
        <v>186</v>
      </c>
      <c r="C108" s="117" t="s">
        <v>186</v>
      </c>
      <c r="D108" s="117" t="s">
        <v>230</v>
      </c>
      <c r="E108" s="117" t="s">
        <v>230</v>
      </c>
      <c r="F108" s="117" t="s">
        <v>130</v>
      </c>
      <c r="G108" s="121">
        <v>0.36399999999999999</v>
      </c>
      <c r="H108" s="121">
        <v>0.36399999999999999</v>
      </c>
      <c r="I108" s="121">
        <f t="shared" si="20"/>
        <v>0.40040000000000003</v>
      </c>
      <c r="J108" s="121">
        <f t="shared" si="20"/>
        <v>0.40040000000000003</v>
      </c>
      <c r="K108" s="121">
        <f t="shared" si="21"/>
        <v>0.45499999999999996</v>
      </c>
      <c r="L108" s="121">
        <f t="shared" si="21"/>
        <v>0.45499999999999996</v>
      </c>
      <c r="M108" s="121">
        <f t="shared" si="22"/>
        <v>0.47320000000000001</v>
      </c>
      <c r="N108" s="121">
        <f t="shared" si="22"/>
        <v>0.47320000000000001</v>
      </c>
      <c r="O108" s="121">
        <f t="shared" si="23"/>
        <v>0.50959999999999994</v>
      </c>
      <c r="P108" s="121">
        <f t="shared" si="23"/>
        <v>0.50959999999999994</v>
      </c>
      <c r="Q108" s="121">
        <f t="shared" si="24"/>
        <v>0.54600000000000004</v>
      </c>
      <c r="R108" s="121">
        <f t="shared" si="24"/>
        <v>0.54600000000000004</v>
      </c>
      <c r="S108" s="118" t="s">
        <v>416</v>
      </c>
      <c r="T108" s="108"/>
      <c r="U108" s="108"/>
      <c r="V108" s="108"/>
      <c r="W108" s="108"/>
      <c r="X108" s="108"/>
      <c r="Y108" s="108"/>
      <c r="Z108" s="108"/>
      <c r="AA108" s="108"/>
      <c r="AB108" s="108"/>
    </row>
    <row r="109" spans="1:28" s="148" customFormat="1" ht="20">
      <c r="A109" s="146" t="s">
        <v>231</v>
      </c>
      <c r="B109" s="146" t="s">
        <v>177</v>
      </c>
      <c r="C109" s="146" t="s">
        <v>177</v>
      </c>
      <c r="D109" s="146" t="s">
        <v>232</v>
      </c>
      <c r="E109" s="146" t="s">
        <v>232</v>
      </c>
      <c r="F109" s="146" t="s">
        <v>130</v>
      </c>
      <c r="G109" s="147">
        <v>0.373</v>
      </c>
      <c r="H109" s="147">
        <v>0.373</v>
      </c>
      <c r="I109" s="147">
        <f t="shared" si="20"/>
        <v>0.41030000000000005</v>
      </c>
      <c r="J109" s="147">
        <f t="shared" si="20"/>
        <v>0.41030000000000005</v>
      </c>
      <c r="K109" s="147">
        <f t="shared" si="21"/>
        <v>0.46625</v>
      </c>
      <c r="L109" s="147">
        <f t="shared" si="21"/>
        <v>0.46625</v>
      </c>
      <c r="M109" s="147">
        <f t="shared" si="22"/>
        <v>0.4849</v>
      </c>
      <c r="N109" s="147">
        <f t="shared" si="22"/>
        <v>0.4849</v>
      </c>
      <c r="O109" s="147">
        <f t="shared" si="23"/>
        <v>0.5222</v>
      </c>
      <c r="P109" s="147">
        <f t="shared" si="23"/>
        <v>0.5222</v>
      </c>
      <c r="Q109" s="147">
        <f t="shared" si="24"/>
        <v>0.5595</v>
      </c>
      <c r="R109" s="147">
        <f t="shared" si="24"/>
        <v>0.5595</v>
      </c>
      <c r="S109" s="167" t="s">
        <v>417</v>
      </c>
    </row>
    <row r="110" spans="1:28" s="148" customFormat="1" ht="20">
      <c r="A110" s="146" t="s">
        <v>233</v>
      </c>
      <c r="B110" s="146" t="s">
        <v>234</v>
      </c>
      <c r="C110" s="146" t="s">
        <v>234</v>
      </c>
      <c r="D110" s="146" t="s">
        <v>144</v>
      </c>
      <c r="E110" s="146" t="s">
        <v>144</v>
      </c>
      <c r="F110" s="146" t="s">
        <v>130</v>
      </c>
      <c r="G110" s="147">
        <v>0.38300000000000001</v>
      </c>
      <c r="H110" s="147">
        <v>0.38300000000000001</v>
      </c>
      <c r="I110" s="147">
        <f t="shared" si="20"/>
        <v>0.42130000000000006</v>
      </c>
      <c r="J110" s="147">
        <f t="shared" si="20"/>
        <v>0.42130000000000006</v>
      </c>
      <c r="K110" s="147">
        <f t="shared" si="21"/>
        <v>0.47875000000000001</v>
      </c>
      <c r="L110" s="147">
        <f t="shared" si="21"/>
        <v>0.47875000000000001</v>
      </c>
      <c r="M110" s="147">
        <f t="shared" si="22"/>
        <v>0.49790000000000001</v>
      </c>
      <c r="N110" s="147">
        <f t="shared" si="22"/>
        <v>0.49790000000000001</v>
      </c>
      <c r="O110" s="147">
        <f t="shared" si="23"/>
        <v>0.53620000000000001</v>
      </c>
      <c r="P110" s="147">
        <f t="shared" si="23"/>
        <v>0.53620000000000001</v>
      </c>
      <c r="Q110" s="147">
        <f t="shared" si="24"/>
        <v>0.57450000000000001</v>
      </c>
      <c r="R110" s="147">
        <f t="shared" si="24"/>
        <v>0.57450000000000001</v>
      </c>
      <c r="S110" s="167" t="s">
        <v>418</v>
      </c>
    </row>
    <row r="111" spans="1:28" ht="20">
      <c r="A111" s="117" t="s">
        <v>235</v>
      </c>
      <c r="B111" s="117" t="s">
        <v>236</v>
      </c>
      <c r="C111" s="117" t="s">
        <v>236</v>
      </c>
      <c r="D111" s="117" t="s">
        <v>237</v>
      </c>
      <c r="E111" s="117" t="s">
        <v>237</v>
      </c>
      <c r="F111" s="117" t="s">
        <v>130</v>
      </c>
      <c r="G111" s="121">
        <v>0.39100000000000001</v>
      </c>
      <c r="H111" s="121">
        <v>0.39100000000000001</v>
      </c>
      <c r="I111" s="121">
        <f t="shared" si="20"/>
        <v>0.43010000000000004</v>
      </c>
      <c r="J111" s="121">
        <f t="shared" si="20"/>
        <v>0.43010000000000004</v>
      </c>
      <c r="K111" s="121">
        <f t="shared" si="21"/>
        <v>0.48875000000000002</v>
      </c>
      <c r="L111" s="121">
        <f t="shared" si="21"/>
        <v>0.48875000000000002</v>
      </c>
      <c r="M111" s="121">
        <f t="shared" si="22"/>
        <v>0.50830000000000009</v>
      </c>
      <c r="N111" s="121">
        <f t="shared" si="22"/>
        <v>0.50830000000000009</v>
      </c>
      <c r="O111" s="121">
        <f t="shared" si="23"/>
        <v>0.5474</v>
      </c>
      <c r="P111" s="121">
        <f t="shared" si="23"/>
        <v>0.5474</v>
      </c>
      <c r="Q111" s="121">
        <f t="shared" si="24"/>
        <v>0.58650000000000002</v>
      </c>
      <c r="R111" s="121">
        <f t="shared" si="24"/>
        <v>0.58650000000000002</v>
      </c>
      <c r="S111" s="118" t="s">
        <v>419</v>
      </c>
      <c r="T111" s="108"/>
      <c r="U111" s="108"/>
      <c r="V111" s="108"/>
      <c r="W111" s="108"/>
      <c r="X111" s="108"/>
      <c r="Y111" s="108"/>
      <c r="Z111" s="108"/>
      <c r="AA111" s="108"/>
      <c r="AB111" s="108"/>
    </row>
    <row r="112" spans="1:28">
      <c r="A112" s="117" t="s">
        <v>238</v>
      </c>
      <c r="B112" s="117" t="s">
        <v>165</v>
      </c>
      <c r="C112" s="117" t="s">
        <v>165</v>
      </c>
      <c r="D112" s="117" t="s">
        <v>160</v>
      </c>
      <c r="E112" s="117" t="s">
        <v>160</v>
      </c>
      <c r="F112" s="117" t="s">
        <v>130</v>
      </c>
      <c r="G112" s="121">
        <v>0.40100000000000002</v>
      </c>
      <c r="H112" s="121">
        <v>0.40100000000000002</v>
      </c>
      <c r="I112" s="121">
        <f t="shared" si="20"/>
        <v>0.44110000000000005</v>
      </c>
      <c r="J112" s="121">
        <f t="shared" si="20"/>
        <v>0.44110000000000005</v>
      </c>
      <c r="K112" s="121">
        <f t="shared" si="21"/>
        <v>0.50124999999999997</v>
      </c>
      <c r="L112" s="121">
        <f t="shared" si="21"/>
        <v>0.50124999999999997</v>
      </c>
      <c r="M112" s="121">
        <f t="shared" si="22"/>
        <v>0.5213000000000001</v>
      </c>
      <c r="N112" s="121">
        <f t="shared" si="22"/>
        <v>0.5213000000000001</v>
      </c>
      <c r="O112" s="121">
        <f t="shared" si="23"/>
        <v>0.56140000000000001</v>
      </c>
      <c r="P112" s="121">
        <f t="shared" si="23"/>
        <v>0.56140000000000001</v>
      </c>
      <c r="Q112" s="121">
        <f t="shared" si="24"/>
        <v>0.60150000000000003</v>
      </c>
      <c r="R112" s="121">
        <f t="shared" si="24"/>
        <v>0.60150000000000003</v>
      </c>
      <c r="S112" s="122" t="s">
        <v>239</v>
      </c>
      <c r="T112" s="108"/>
      <c r="U112" s="108"/>
      <c r="V112" s="108"/>
      <c r="W112" s="108"/>
      <c r="X112" s="108"/>
      <c r="Y112" s="108"/>
      <c r="Z112" s="108"/>
      <c r="AA112" s="108"/>
      <c r="AB112" s="108"/>
    </row>
    <row r="113" spans="1:28">
      <c r="A113" s="117" t="s">
        <v>240</v>
      </c>
      <c r="B113" s="117" t="s">
        <v>173</v>
      </c>
      <c r="C113" s="117" t="s">
        <v>173</v>
      </c>
      <c r="D113" s="117" t="s">
        <v>241</v>
      </c>
      <c r="E113" s="117" t="s">
        <v>241</v>
      </c>
      <c r="F113" s="117" t="s">
        <v>130</v>
      </c>
      <c r="G113" s="121">
        <v>0.40899999999999997</v>
      </c>
      <c r="H113" s="121">
        <v>0.40899999999999997</v>
      </c>
      <c r="I113" s="121">
        <f t="shared" si="20"/>
        <v>0.44990000000000002</v>
      </c>
      <c r="J113" s="121">
        <f t="shared" si="20"/>
        <v>0.44990000000000002</v>
      </c>
      <c r="K113" s="121">
        <f t="shared" si="21"/>
        <v>0.51124999999999998</v>
      </c>
      <c r="L113" s="121">
        <f t="shared" si="21"/>
        <v>0.51124999999999998</v>
      </c>
      <c r="M113" s="121">
        <f t="shared" si="22"/>
        <v>0.53169999999999995</v>
      </c>
      <c r="N113" s="121">
        <f t="shared" si="22"/>
        <v>0.53169999999999995</v>
      </c>
      <c r="O113" s="121">
        <f t="shared" si="23"/>
        <v>0.57259999999999989</v>
      </c>
      <c r="P113" s="121">
        <f t="shared" si="23"/>
        <v>0.57259999999999989</v>
      </c>
      <c r="Q113" s="121">
        <f t="shared" si="24"/>
        <v>0.61349999999999993</v>
      </c>
      <c r="R113" s="121">
        <f t="shared" si="24"/>
        <v>0.61349999999999993</v>
      </c>
      <c r="S113" s="122" t="s">
        <v>242</v>
      </c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1:28">
      <c r="A114" s="117" t="s">
        <v>243</v>
      </c>
      <c r="B114" s="117" t="s">
        <v>167</v>
      </c>
      <c r="C114" s="117" t="s">
        <v>167</v>
      </c>
      <c r="D114" s="117" t="s">
        <v>140</v>
      </c>
      <c r="E114" s="117" t="s">
        <v>140</v>
      </c>
      <c r="F114" s="117" t="s">
        <v>130</v>
      </c>
      <c r="G114" s="121">
        <v>0.41899999999999998</v>
      </c>
      <c r="H114" s="121">
        <v>0.41899999999999998</v>
      </c>
      <c r="I114" s="121">
        <f t="shared" si="20"/>
        <v>0.46090000000000003</v>
      </c>
      <c r="J114" s="121">
        <f t="shared" si="20"/>
        <v>0.46090000000000003</v>
      </c>
      <c r="K114" s="121">
        <f t="shared" si="21"/>
        <v>0.52374999999999994</v>
      </c>
      <c r="L114" s="121">
        <f t="shared" si="21"/>
        <v>0.52374999999999994</v>
      </c>
      <c r="M114" s="121">
        <f t="shared" si="22"/>
        <v>0.54469999999999996</v>
      </c>
      <c r="N114" s="121">
        <f t="shared" si="22"/>
        <v>0.54469999999999996</v>
      </c>
      <c r="O114" s="121">
        <f t="shared" si="23"/>
        <v>0.5865999999999999</v>
      </c>
      <c r="P114" s="121">
        <f t="shared" si="23"/>
        <v>0.5865999999999999</v>
      </c>
      <c r="Q114" s="121">
        <f t="shared" si="24"/>
        <v>0.62849999999999995</v>
      </c>
      <c r="R114" s="121">
        <f t="shared" si="24"/>
        <v>0.62849999999999995</v>
      </c>
      <c r="S114" s="122" t="s">
        <v>244</v>
      </c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1:28">
      <c r="A115" s="117" t="s">
        <v>245</v>
      </c>
      <c r="B115" s="117" t="s">
        <v>151</v>
      </c>
      <c r="C115" s="117" t="s">
        <v>151</v>
      </c>
      <c r="D115" s="117" t="s">
        <v>125</v>
      </c>
      <c r="E115" s="117" t="s">
        <v>125</v>
      </c>
      <c r="F115" s="117" t="s">
        <v>130</v>
      </c>
      <c r="G115" s="121">
        <v>0.42</v>
      </c>
      <c r="H115" s="121">
        <v>0.42</v>
      </c>
      <c r="I115" s="121">
        <f t="shared" si="20"/>
        <v>0.46200000000000002</v>
      </c>
      <c r="J115" s="121">
        <f t="shared" si="20"/>
        <v>0.46200000000000002</v>
      </c>
      <c r="K115" s="121">
        <f t="shared" si="21"/>
        <v>0.52500000000000002</v>
      </c>
      <c r="L115" s="121">
        <f t="shared" si="21"/>
        <v>0.52500000000000002</v>
      </c>
      <c r="M115" s="121">
        <f t="shared" si="22"/>
        <v>0.54600000000000004</v>
      </c>
      <c r="N115" s="121">
        <f t="shared" si="22"/>
        <v>0.54600000000000004</v>
      </c>
      <c r="O115" s="121">
        <f t="shared" si="23"/>
        <v>0.58799999999999997</v>
      </c>
      <c r="P115" s="121">
        <f t="shared" si="23"/>
        <v>0.58799999999999997</v>
      </c>
      <c r="Q115" s="121">
        <f t="shared" si="24"/>
        <v>0.63</v>
      </c>
      <c r="R115" s="121">
        <f t="shared" si="24"/>
        <v>0.63</v>
      </c>
      <c r="S115" s="122" t="s">
        <v>246</v>
      </c>
      <c r="T115" s="108"/>
      <c r="U115" s="108"/>
      <c r="V115" s="108"/>
      <c r="W115" s="108"/>
      <c r="X115" s="108"/>
      <c r="Y115" s="108"/>
      <c r="Z115" s="108"/>
      <c r="AA115" s="108"/>
      <c r="AB115" s="108"/>
    </row>
    <row r="116" spans="1:28" ht="20">
      <c r="A116" s="117" t="s">
        <v>247</v>
      </c>
      <c r="B116" s="117" t="s">
        <v>125</v>
      </c>
      <c r="C116" s="117" t="s">
        <v>125</v>
      </c>
      <c r="D116" s="117" t="s">
        <v>133</v>
      </c>
      <c r="E116" s="117" t="s">
        <v>133</v>
      </c>
      <c r="F116" s="117" t="s">
        <v>130</v>
      </c>
      <c r="G116" s="121">
        <v>0.34200000000000003</v>
      </c>
      <c r="H116" s="121">
        <v>0.34200000000000003</v>
      </c>
      <c r="I116" s="121">
        <f t="shared" si="20"/>
        <v>0.37620000000000003</v>
      </c>
      <c r="J116" s="121">
        <f t="shared" si="20"/>
        <v>0.37620000000000003</v>
      </c>
      <c r="K116" s="121">
        <f t="shared" si="21"/>
        <v>0.42750000000000005</v>
      </c>
      <c r="L116" s="121">
        <f t="shared" si="21"/>
        <v>0.42750000000000005</v>
      </c>
      <c r="M116" s="121">
        <f t="shared" si="22"/>
        <v>0.44460000000000005</v>
      </c>
      <c r="N116" s="121">
        <f t="shared" si="22"/>
        <v>0.44460000000000005</v>
      </c>
      <c r="O116" s="121">
        <f t="shared" si="23"/>
        <v>0.4788</v>
      </c>
      <c r="P116" s="121">
        <f t="shared" si="23"/>
        <v>0.4788</v>
      </c>
      <c r="Q116" s="121">
        <f t="shared" si="24"/>
        <v>0.51300000000000001</v>
      </c>
      <c r="R116" s="121">
        <f t="shared" si="24"/>
        <v>0.51300000000000001</v>
      </c>
      <c r="S116" s="122" t="s">
        <v>403</v>
      </c>
      <c r="T116" s="108"/>
      <c r="U116" s="108"/>
      <c r="V116" s="108"/>
      <c r="W116" s="108"/>
      <c r="X116" s="108"/>
      <c r="Y116" s="108"/>
      <c r="Z116" s="108"/>
      <c r="AA116" s="108"/>
      <c r="AB116" s="108"/>
    </row>
    <row r="117" spans="1:28">
      <c r="A117" s="117" t="s">
        <v>248</v>
      </c>
      <c r="B117" s="117" t="s">
        <v>168</v>
      </c>
      <c r="C117" s="117" t="s">
        <v>168</v>
      </c>
      <c r="D117" s="117" t="s">
        <v>111</v>
      </c>
      <c r="E117" s="117" t="s">
        <v>111</v>
      </c>
      <c r="F117" s="117" t="s">
        <v>130</v>
      </c>
      <c r="G117" s="121">
        <v>0.40100000000000002</v>
      </c>
      <c r="H117" s="121">
        <v>0.40100000000000002</v>
      </c>
      <c r="I117" s="121">
        <f t="shared" si="20"/>
        <v>0.44110000000000005</v>
      </c>
      <c r="J117" s="121">
        <f t="shared" si="20"/>
        <v>0.44110000000000005</v>
      </c>
      <c r="K117" s="121">
        <f t="shared" si="21"/>
        <v>0.50124999999999997</v>
      </c>
      <c r="L117" s="121">
        <f t="shared" si="21"/>
        <v>0.50124999999999997</v>
      </c>
      <c r="M117" s="121">
        <f t="shared" si="22"/>
        <v>0.5213000000000001</v>
      </c>
      <c r="N117" s="121">
        <f t="shared" si="22"/>
        <v>0.5213000000000001</v>
      </c>
      <c r="O117" s="121">
        <f t="shared" si="23"/>
        <v>0.56140000000000001</v>
      </c>
      <c r="P117" s="121">
        <f t="shared" si="23"/>
        <v>0.56140000000000001</v>
      </c>
      <c r="Q117" s="121">
        <f t="shared" si="24"/>
        <v>0.60150000000000003</v>
      </c>
      <c r="R117" s="121">
        <f t="shared" si="24"/>
        <v>0.60150000000000003</v>
      </c>
      <c r="S117" s="122" t="s">
        <v>208</v>
      </c>
      <c r="T117" s="108"/>
      <c r="U117" s="108"/>
      <c r="V117" s="108"/>
      <c r="W117" s="108"/>
      <c r="X117" s="108"/>
      <c r="Y117" s="108"/>
      <c r="Z117" s="108"/>
      <c r="AA117" s="108"/>
      <c r="AB117" s="108"/>
    </row>
    <row r="118" spans="1:28">
      <c r="A118" s="117" t="s">
        <v>249</v>
      </c>
      <c r="B118" s="117" t="s">
        <v>170</v>
      </c>
      <c r="C118" s="117" t="s">
        <v>170</v>
      </c>
      <c r="D118" s="117" t="s">
        <v>145</v>
      </c>
      <c r="E118" s="117" t="s">
        <v>145</v>
      </c>
      <c r="F118" s="117" t="s">
        <v>130</v>
      </c>
      <c r="G118" s="121">
        <v>0.41599999999999998</v>
      </c>
      <c r="H118" s="121">
        <v>0.41599999999999998</v>
      </c>
      <c r="I118" s="121">
        <f t="shared" si="20"/>
        <v>0.45760000000000001</v>
      </c>
      <c r="J118" s="121">
        <f t="shared" si="20"/>
        <v>0.45760000000000001</v>
      </c>
      <c r="K118" s="121">
        <f t="shared" si="21"/>
        <v>0.52</v>
      </c>
      <c r="L118" s="121">
        <f t="shared" si="21"/>
        <v>0.52</v>
      </c>
      <c r="M118" s="121">
        <f t="shared" si="22"/>
        <v>0.54079999999999995</v>
      </c>
      <c r="N118" s="121">
        <f t="shared" si="22"/>
        <v>0.54079999999999995</v>
      </c>
      <c r="O118" s="121">
        <f t="shared" si="23"/>
        <v>0.58239999999999992</v>
      </c>
      <c r="P118" s="121">
        <f t="shared" si="23"/>
        <v>0.58239999999999992</v>
      </c>
      <c r="Q118" s="121">
        <f t="shared" si="24"/>
        <v>0.624</v>
      </c>
      <c r="R118" s="121">
        <f t="shared" si="24"/>
        <v>0.624</v>
      </c>
      <c r="S118" s="122" t="s">
        <v>220</v>
      </c>
      <c r="T118" s="108"/>
      <c r="U118" s="108"/>
      <c r="V118" s="108"/>
      <c r="W118" s="108"/>
      <c r="X118" s="108"/>
      <c r="Y118" s="108"/>
      <c r="Z118" s="108"/>
      <c r="AA118" s="108"/>
      <c r="AB118" s="108"/>
    </row>
    <row r="119" spans="1:28">
      <c r="A119" s="117" t="s">
        <v>250</v>
      </c>
      <c r="B119" s="117" t="s">
        <v>170</v>
      </c>
      <c r="C119" s="117" t="s">
        <v>170</v>
      </c>
      <c r="D119" s="123" t="s">
        <v>119</v>
      </c>
      <c r="E119" s="123" t="s">
        <v>119</v>
      </c>
      <c r="F119" s="117" t="s">
        <v>130</v>
      </c>
      <c r="G119" s="121">
        <v>0.42899999999999999</v>
      </c>
      <c r="H119" s="121">
        <v>0.42899999999999999</v>
      </c>
      <c r="I119" s="121">
        <f t="shared" si="20"/>
        <v>0.47190000000000004</v>
      </c>
      <c r="J119" s="121">
        <f t="shared" si="20"/>
        <v>0.47190000000000004</v>
      </c>
      <c r="K119" s="121">
        <f t="shared" si="21"/>
        <v>0.53625</v>
      </c>
      <c r="L119" s="121">
        <f t="shared" si="21"/>
        <v>0.53625</v>
      </c>
      <c r="M119" s="121">
        <f t="shared" si="22"/>
        <v>0.55769999999999997</v>
      </c>
      <c r="N119" s="121">
        <f t="shared" si="22"/>
        <v>0.55769999999999997</v>
      </c>
      <c r="O119" s="121">
        <f t="shared" si="23"/>
        <v>0.60059999999999991</v>
      </c>
      <c r="P119" s="121">
        <f t="shared" si="23"/>
        <v>0.60059999999999991</v>
      </c>
      <c r="Q119" s="121">
        <f t="shared" si="24"/>
        <v>0.64349999999999996</v>
      </c>
      <c r="R119" s="121">
        <f t="shared" si="24"/>
        <v>0.64349999999999996</v>
      </c>
      <c r="S119" s="122" t="s">
        <v>220</v>
      </c>
      <c r="T119" s="108"/>
      <c r="U119" s="108"/>
      <c r="V119" s="108"/>
      <c r="W119" s="108"/>
      <c r="X119" s="108"/>
      <c r="Y119" s="108"/>
      <c r="Z119" s="108"/>
      <c r="AA119" s="108"/>
      <c r="AB119" s="108"/>
    </row>
    <row r="120" spans="1:28" ht="20">
      <c r="A120" s="117" t="s">
        <v>251</v>
      </c>
      <c r="B120" s="117" t="s">
        <v>170</v>
      </c>
      <c r="C120" s="117" t="s">
        <v>170</v>
      </c>
      <c r="D120" s="117" t="s">
        <v>236</v>
      </c>
      <c r="E120" s="117" t="s">
        <v>236</v>
      </c>
      <c r="F120" s="117" t="s">
        <v>130</v>
      </c>
      <c r="G120" s="121">
        <v>0.443</v>
      </c>
      <c r="H120" s="121">
        <v>0.443</v>
      </c>
      <c r="I120" s="121">
        <f t="shared" si="20"/>
        <v>0.48730000000000007</v>
      </c>
      <c r="J120" s="121">
        <f t="shared" si="20"/>
        <v>0.48730000000000007</v>
      </c>
      <c r="K120" s="121">
        <f t="shared" si="21"/>
        <v>0.55374999999999996</v>
      </c>
      <c r="L120" s="121">
        <f t="shared" si="21"/>
        <v>0.55374999999999996</v>
      </c>
      <c r="M120" s="121">
        <f t="shared" si="22"/>
        <v>0.57590000000000008</v>
      </c>
      <c r="N120" s="121">
        <f t="shared" si="22"/>
        <v>0.57590000000000008</v>
      </c>
      <c r="O120" s="121">
        <f t="shared" si="23"/>
        <v>0.62019999999999997</v>
      </c>
      <c r="P120" s="121">
        <f t="shared" si="23"/>
        <v>0.62019999999999997</v>
      </c>
      <c r="Q120" s="121">
        <f t="shared" si="24"/>
        <v>0.66449999999999998</v>
      </c>
      <c r="R120" s="121">
        <f t="shared" si="24"/>
        <v>0.66449999999999998</v>
      </c>
      <c r="S120" s="122" t="s">
        <v>427</v>
      </c>
      <c r="T120" s="108"/>
      <c r="U120" s="108"/>
      <c r="V120" s="108"/>
      <c r="W120" s="108"/>
      <c r="X120" s="108"/>
      <c r="Y120" s="108"/>
      <c r="Z120" s="108"/>
      <c r="AA120" s="108"/>
      <c r="AB120" s="108"/>
    </row>
    <row r="121" spans="1:28" ht="20">
      <c r="A121" s="117" t="s">
        <v>252</v>
      </c>
      <c r="B121" s="117" t="s">
        <v>178</v>
      </c>
      <c r="C121" s="117" t="s">
        <v>178</v>
      </c>
      <c r="D121" s="117" t="s">
        <v>116</v>
      </c>
      <c r="E121" s="117" t="s">
        <v>116</v>
      </c>
      <c r="F121" s="117" t="s">
        <v>130</v>
      </c>
      <c r="G121" s="121">
        <v>0.44600000000000001</v>
      </c>
      <c r="H121" s="121">
        <v>0.44600000000000001</v>
      </c>
      <c r="I121" s="121">
        <f t="shared" si="20"/>
        <v>0.49060000000000004</v>
      </c>
      <c r="J121" s="121">
        <f t="shared" si="20"/>
        <v>0.49060000000000004</v>
      </c>
      <c r="K121" s="121">
        <f t="shared" si="21"/>
        <v>0.5575</v>
      </c>
      <c r="L121" s="121">
        <f t="shared" si="21"/>
        <v>0.5575</v>
      </c>
      <c r="M121" s="121">
        <f t="shared" si="22"/>
        <v>0.57979999999999998</v>
      </c>
      <c r="N121" s="121">
        <f t="shared" si="22"/>
        <v>0.57979999999999998</v>
      </c>
      <c r="O121" s="121">
        <f t="shared" si="23"/>
        <v>0.62439999999999996</v>
      </c>
      <c r="P121" s="121">
        <f t="shared" si="23"/>
        <v>0.62439999999999996</v>
      </c>
      <c r="Q121" s="121">
        <f t="shared" si="24"/>
        <v>0.66900000000000004</v>
      </c>
      <c r="R121" s="121">
        <f t="shared" si="24"/>
        <v>0.66900000000000004</v>
      </c>
      <c r="S121" s="122" t="s">
        <v>427</v>
      </c>
      <c r="T121" s="108"/>
      <c r="U121" s="108"/>
      <c r="V121" s="108"/>
      <c r="W121" s="108"/>
      <c r="X121" s="108"/>
      <c r="Y121" s="108"/>
      <c r="Z121" s="108"/>
      <c r="AA121" s="108"/>
      <c r="AB121" s="108"/>
    </row>
    <row r="122" spans="1:28" ht="20">
      <c r="A122" s="117" t="s">
        <v>253</v>
      </c>
      <c r="B122" s="117" t="s">
        <v>254</v>
      </c>
      <c r="C122" s="117" t="s">
        <v>254</v>
      </c>
      <c r="D122" s="123" t="s">
        <v>255</v>
      </c>
      <c r="E122" s="123" t="s">
        <v>255</v>
      </c>
      <c r="F122" s="117" t="s">
        <v>130</v>
      </c>
      <c r="G122" s="121">
        <v>0.40699999999999997</v>
      </c>
      <c r="H122" s="121">
        <v>0.40699999999999997</v>
      </c>
      <c r="I122" s="121">
        <f t="shared" si="20"/>
        <v>0.44769999999999999</v>
      </c>
      <c r="J122" s="121">
        <f t="shared" si="20"/>
        <v>0.44769999999999999</v>
      </c>
      <c r="K122" s="121">
        <f t="shared" si="21"/>
        <v>0.50874999999999992</v>
      </c>
      <c r="L122" s="121">
        <f t="shared" si="21"/>
        <v>0.50874999999999992</v>
      </c>
      <c r="M122" s="121">
        <f t="shared" si="22"/>
        <v>0.52910000000000001</v>
      </c>
      <c r="N122" s="121">
        <f t="shared" si="22"/>
        <v>0.52910000000000001</v>
      </c>
      <c r="O122" s="121">
        <f t="shared" si="23"/>
        <v>0.56979999999999997</v>
      </c>
      <c r="P122" s="121">
        <f t="shared" si="23"/>
        <v>0.56979999999999997</v>
      </c>
      <c r="Q122" s="121">
        <f t="shared" si="24"/>
        <v>0.61049999999999993</v>
      </c>
      <c r="R122" s="121">
        <f t="shared" si="24"/>
        <v>0.61049999999999993</v>
      </c>
      <c r="S122" s="122" t="s">
        <v>427</v>
      </c>
      <c r="T122" s="108"/>
      <c r="U122" s="108"/>
      <c r="V122" s="108"/>
      <c r="W122" s="108"/>
      <c r="X122" s="108"/>
      <c r="Y122" s="108"/>
      <c r="Z122" s="108"/>
      <c r="AA122" s="108"/>
      <c r="AB122" s="108"/>
    </row>
    <row r="123" spans="1:28" ht="20">
      <c r="A123" s="117" t="s">
        <v>256</v>
      </c>
      <c r="B123" s="117" t="s">
        <v>257</v>
      </c>
      <c r="C123" s="117" t="s">
        <v>257</v>
      </c>
      <c r="D123" s="123" t="s">
        <v>167</v>
      </c>
      <c r="E123" s="123" t="s">
        <v>167</v>
      </c>
      <c r="F123" s="117" t="s">
        <v>130</v>
      </c>
      <c r="G123" s="121">
        <v>0.41</v>
      </c>
      <c r="H123" s="121">
        <v>0.41</v>
      </c>
      <c r="I123" s="121">
        <f t="shared" si="20"/>
        <v>0.45100000000000001</v>
      </c>
      <c r="J123" s="121">
        <f t="shared" si="20"/>
        <v>0.45100000000000001</v>
      </c>
      <c r="K123" s="121">
        <f t="shared" si="21"/>
        <v>0.51249999999999996</v>
      </c>
      <c r="L123" s="121">
        <f t="shared" si="21"/>
        <v>0.51249999999999996</v>
      </c>
      <c r="M123" s="121">
        <f t="shared" si="22"/>
        <v>0.53300000000000003</v>
      </c>
      <c r="N123" s="121">
        <f t="shared" si="22"/>
        <v>0.53300000000000003</v>
      </c>
      <c r="O123" s="121">
        <f t="shared" si="23"/>
        <v>0.57399999999999995</v>
      </c>
      <c r="P123" s="121">
        <f t="shared" si="23"/>
        <v>0.57399999999999995</v>
      </c>
      <c r="Q123" s="121">
        <f t="shared" si="24"/>
        <v>0.61499999999999999</v>
      </c>
      <c r="R123" s="121">
        <f t="shared" si="24"/>
        <v>0.61499999999999999</v>
      </c>
      <c r="S123" s="122" t="s">
        <v>427</v>
      </c>
      <c r="T123" s="108"/>
      <c r="U123" s="108"/>
      <c r="V123" s="108"/>
      <c r="W123" s="108"/>
      <c r="X123" s="108"/>
      <c r="Y123" s="108"/>
      <c r="Z123" s="108"/>
      <c r="AA123" s="108"/>
      <c r="AB123" s="108"/>
    </row>
    <row r="124" spans="1:28" ht="20">
      <c r="A124" s="117" t="s">
        <v>258</v>
      </c>
      <c r="B124" s="117" t="s">
        <v>259</v>
      </c>
      <c r="C124" s="117" t="s">
        <v>259</v>
      </c>
      <c r="D124" s="123" t="s">
        <v>173</v>
      </c>
      <c r="E124" s="123" t="s">
        <v>173</v>
      </c>
      <c r="F124" s="117" t="s">
        <v>130</v>
      </c>
      <c r="G124" s="121">
        <v>0.43</v>
      </c>
      <c r="H124" s="121">
        <v>0.43</v>
      </c>
      <c r="I124" s="121">
        <f t="shared" si="20"/>
        <v>0.47300000000000003</v>
      </c>
      <c r="J124" s="121">
        <f t="shared" si="20"/>
        <v>0.47300000000000003</v>
      </c>
      <c r="K124" s="121">
        <f t="shared" si="21"/>
        <v>0.53749999999999998</v>
      </c>
      <c r="L124" s="121">
        <f t="shared" si="21"/>
        <v>0.53749999999999998</v>
      </c>
      <c r="M124" s="121">
        <f t="shared" si="22"/>
        <v>0.55900000000000005</v>
      </c>
      <c r="N124" s="121">
        <f t="shared" si="22"/>
        <v>0.55900000000000005</v>
      </c>
      <c r="O124" s="121">
        <f t="shared" si="23"/>
        <v>0.60199999999999998</v>
      </c>
      <c r="P124" s="121">
        <f t="shared" si="23"/>
        <v>0.60199999999999998</v>
      </c>
      <c r="Q124" s="121">
        <f t="shared" si="24"/>
        <v>0.64500000000000002</v>
      </c>
      <c r="R124" s="121">
        <f t="shared" si="24"/>
        <v>0.64500000000000002</v>
      </c>
      <c r="S124" s="122" t="s">
        <v>427</v>
      </c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6" spans="1:28">
      <c r="I126" s="128"/>
      <c r="J126" s="129"/>
      <c r="K126" s="129"/>
      <c r="L126" s="130" t="s">
        <v>95</v>
      </c>
      <c r="M126" s="129"/>
      <c r="N126" s="129"/>
      <c r="O126" s="129"/>
      <c r="P126" s="129"/>
      <c r="Q126" s="129"/>
      <c r="R126" s="131"/>
      <c r="S126" s="122"/>
      <c r="T126" s="108"/>
      <c r="U126" s="108"/>
      <c r="V126" s="108"/>
      <c r="W126" s="108"/>
      <c r="X126" s="108"/>
      <c r="Y126" s="108"/>
      <c r="Z126" s="108"/>
      <c r="AA126" s="108"/>
      <c r="AB126" s="108"/>
    </row>
    <row r="127" spans="1:28">
      <c r="B127" s="136" t="s">
        <v>435</v>
      </c>
      <c r="C127" s="131"/>
      <c r="D127" s="130" t="s">
        <v>96</v>
      </c>
      <c r="E127" s="129"/>
      <c r="F127" s="143" t="s">
        <v>97</v>
      </c>
      <c r="G127" s="134" t="s">
        <v>98</v>
      </c>
      <c r="H127" s="131"/>
      <c r="I127" s="140">
        <f>$I$6</f>
        <v>1.1000000000000001</v>
      </c>
      <c r="J127" s="144"/>
      <c r="K127" s="124">
        <f>$K$6</f>
        <v>1.25</v>
      </c>
      <c r="L127" s="144"/>
      <c r="M127" s="124">
        <f>$M$6</f>
        <v>1.3</v>
      </c>
      <c r="N127" s="144"/>
      <c r="O127" s="124">
        <f>$O$6</f>
        <v>1.4</v>
      </c>
      <c r="P127" s="144"/>
      <c r="Q127" s="124">
        <f>$Q$6</f>
        <v>1.5</v>
      </c>
      <c r="R127" s="133"/>
      <c r="S127" s="122"/>
      <c r="T127" s="108"/>
      <c r="U127" s="108"/>
      <c r="V127" s="108"/>
      <c r="W127" s="108"/>
      <c r="X127" s="108"/>
      <c r="Y127" s="108"/>
      <c r="Z127" s="108"/>
      <c r="AA127" s="108"/>
      <c r="AB127" s="108"/>
    </row>
    <row r="128" spans="1:28">
      <c r="B128" s="141" t="s">
        <v>99</v>
      </c>
      <c r="C128" s="142" t="s">
        <v>38</v>
      </c>
      <c r="D128" s="141" t="s">
        <v>99</v>
      </c>
      <c r="E128" s="142" t="s">
        <v>38</v>
      </c>
      <c r="F128" s="137" t="s">
        <v>436</v>
      </c>
      <c r="G128" s="141" t="s">
        <v>99</v>
      </c>
      <c r="H128" s="142" t="s">
        <v>38</v>
      </c>
      <c r="I128" s="138" t="s">
        <v>99</v>
      </c>
      <c r="J128" s="139" t="s">
        <v>38</v>
      </c>
      <c r="K128" s="138" t="s">
        <v>99</v>
      </c>
      <c r="L128" s="139" t="s">
        <v>38</v>
      </c>
      <c r="M128" s="138" t="s">
        <v>99</v>
      </c>
      <c r="N128" s="139" t="s">
        <v>38</v>
      </c>
      <c r="O128" s="138" t="s">
        <v>99</v>
      </c>
      <c r="P128" s="139" t="s">
        <v>38</v>
      </c>
      <c r="Q128" s="138" t="s">
        <v>99</v>
      </c>
      <c r="R128" s="139" t="s">
        <v>38</v>
      </c>
      <c r="S128" s="115" t="s">
        <v>100</v>
      </c>
      <c r="T128" s="108"/>
      <c r="U128" s="108"/>
      <c r="V128" s="108"/>
      <c r="W128" s="108"/>
      <c r="X128" s="108"/>
      <c r="Y128" s="108"/>
      <c r="Z128" s="108"/>
      <c r="AA128" s="108"/>
      <c r="AB128" s="108"/>
    </row>
    <row r="129" spans="1:28">
      <c r="A129" s="117" t="s">
        <v>103</v>
      </c>
      <c r="B129" s="117" t="s">
        <v>33</v>
      </c>
      <c r="C129" s="117" t="s">
        <v>33</v>
      </c>
      <c r="D129" s="117" t="s">
        <v>33</v>
      </c>
      <c r="E129" s="117" t="s">
        <v>33</v>
      </c>
      <c r="F129" s="117" t="s">
        <v>33</v>
      </c>
      <c r="G129" s="119" t="s">
        <v>11</v>
      </c>
      <c r="H129" s="119" t="s">
        <v>11</v>
      </c>
      <c r="I129" s="119" t="s">
        <v>11</v>
      </c>
      <c r="J129" s="119" t="s">
        <v>11</v>
      </c>
      <c r="K129" s="119" t="s">
        <v>11</v>
      </c>
      <c r="L129" s="119" t="s">
        <v>11</v>
      </c>
      <c r="M129" s="119" t="s">
        <v>11</v>
      </c>
      <c r="N129" s="119" t="s">
        <v>11</v>
      </c>
      <c r="O129" s="119" t="s">
        <v>11</v>
      </c>
      <c r="P129" s="119" t="s">
        <v>11</v>
      </c>
      <c r="Q129" s="119" t="s">
        <v>11</v>
      </c>
      <c r="R129" s="119" t="s">
        <v>11</v>
      </c>
      <c r="T129" s="108"/>
      <c r="U129" s="108"/>
      <c r="V129" s="108"/>
      <c r="W129" s="108"/>
      <c r="X129" s="108"/>
      <c r="Y129" s="108"/>
      <c r="Z129" s="108"/>
      <c r="AA129" s="108"/>
      <c r="AB129" s="108"/>
    </row>
    <row r="130" spans="1:28">
      <c r="A130" s="119" t="s">
        <v>260</v>
      </c>
      <c r="T130" s="108"/>
      <c r="U130" s="108"/>
      <c r="V130" s="108"/>
      <c r="W130" s="108"/>
      <c r="X130" s="108"/>
      <c r="Y130" s="108"/>
      <c r="Z130" s="108"/>
      <c r="AA130" s="108"/>
      <c r="AB130" s="108"/>
    </row>
    <row r="131" spans="1:28" ht="20">
      <c r="A131" s="117" t="s">
        <v>261</v>
      </c>
      <c r="B131" s="117" t="s">
        <v>140</v>
      </c>
      <c r="C131" s="117" t="s">
        <v>140</v>
      </c>
      <c r="D131" s="123" t="s">
        <v>262</v>
      </c>
      <c r="E131" s="123" t="s">
        <v>262</v>
      </c>
      <c r="F131" s="117" t="s">
        <v>130</v>
      </c>
      <c r="G131" s="121">
        <v>0.307</v>
      </c>
      <c r="H131" s="121">
        <v>0.307</v>
      </c>
      <c r="I131" s="121">
        <f t="shared" ref="I131:J140" si="25">$I$6*G131</f>
        <v>0.3377</v>
      </c>
      <c r="J131" s="121">
        <f t="shared" si="25"/>
        <v>0.3377</v>
      </c>
      <c r="K131" s="121">
        <f t="shared" ref="K131:L140" si="26">$K$6*G131</f>
        <v>0.38374999999999998</v>
      </c>
      <c r="L131" s="121">
        <f t="shared" si="26"/>
        <v>0.38374999999999998</v>
      </c>
      <c r="M131" s="121">
        <f t="shared" ref="M131:N140" si="27">$M$6*G131</f>
        <v>0.39910000000000001</v>
      </c>
      <c r="N131" s="121">
        <f t="shared" si="27"/>
        <v>0.39910000000000001</v>
      </c>
      <c r="O131" s="121">
        <f t="shared" ref="O131:P140" si="28">$O$6*G131</f>
        <v>0.42979999999999996</v>
      </c>
      <c r="P131" s="121">
        <f t="shared" si="28"/>
        <v>0.42979999999999996</v>
      </c>
      <c r="Q131" s="121">
        <f t="shared" ref="Q131:R140" si="29">$Q$6*G131</f>
        <v>0.46050000000000002</v>
      </c>
      <c r="R131" s="121">
        <f t="shared" si="29"/>
        <v>0.46050000000000002</v>
      </c>
      <c r="S131" s="118" t="s">
        <v>428</v>
      </c>
      <c r="T131" s="108"/>
      <c r="U131" s="108"/>
      <c r="V131" s="108"/>
      <c r="W131" s="108"/>
      <c r="X131" s="108"/>
      <c r="Y131" s="108"/>
      <c r="Z131" s="108"/>
      <c r="AA131" s="108"/>
      <c r="AB131" s="108"/>
    </row>
    <row r="132" spans="1:28">
      <c r="A132" s="117" t="s">
        <v>263</v>
      </c>
      <c r="B132" s="117" t="s">
        <v>177</v>
      </c>
      <c r="C132" s="117" t="s">
        <v>177</v>
      </c>
      <c r="D132" s="126" t="s">
        <v>264</v>
      </c>
      <c r="E132" s="126" t="s">
        <v>264</v>
      </c>
      <c r="F132" s="117" t="s">
        <v>130</v>
      </c>
      <c r="G132" s="121">
        <v>0.35</v>
      </c>
      <c r="H132" s="121">
        <v>0.35</v>
      </c>
      <c r="I132" s="121">
        <f t="shared" si="25"/>
        <v>0.38500000000000001</v>
      </c>
      <c r="J132" s="121">
        <f t="shared" si="25"/>
        <v>0.38500000000000001</v>
      </c>
      <c r="K132" s="121">
        <f t="shared" si="26"/>
        <v>0.4375</v>
      </c>
      <c r="L132" s="121">
        <f t="shared" si="26"/>
        <v>0.4375</v>
      </c>
      <c r="M132" s="121">
        <f t="shared" si="27"/>
        <v>0.45499999999999996</v>
      </c>
      <c r="N132" s="121">
        <f t="shared" si="27"/>
        <v>0.45499999999999996</v>
      </c>
      <c r="O132" s="121">
        <f t="shared" si="28"/>
        <v>0.48999999999999994</v>
      </c>
      <c r="P132" s="121">
        <f t="shared" si="28"/>
        <v>0.48999999999999994</v>
      </c>
      <c r="Q132" s="121">
        <f t="shared" si="29"/>
        <v>0.52499999999999991</v>
      </c>
      <c r="R132" s="121">
        <f t="shared" si="29"/>
        <v>0.52499999999999991</v>
      </c>
      <c r="S132" s="118" t="s">
        <v>265</v>
      </c>
      <c r="T132" s="108"/>
      <c r="U132" s="108"/>
      <c r="V132" s="108"/>
      <c r="W132" s="108"/>
      <c r="X132" s="108"/>
      <c r="Y132" s="108"/>
      <c r="Z132" s="108"/>
      <c r="AA132" s="108"/>
      <c r="AB132" s="108"/>
    </row>
    <row r="133" spans="1:28" s="146" customFormat="1" ht="17">
      <c r="A133" s="146" t="s">
        <v>266</v>
      </c>
      <c r="B133" s="146" t="s">
        <v>146</v>
      </c>
      <c r="C133" s="146" t="s">
        <v>146</v>
      </c>
      <c r="D133" s="146" t="s">
        <v>211</v>
      </c>
      <c r="E133" s="146" t="s">
        <v>211</v>
      </c>
      <c r="F133" s="146" t="s">
        <v>130</v>
      </c>
      <c r="G133" s="146">
        <v>0.373</v>
      </c>
      <c r="H133" s="146">
        <v>0.373</v>
      </c>
      <c r="I133" s="147">
        <f t="shared" si="25"/>
        <v>0.41030000000000005</v>
      </c>
      <c r="J133" s="147">
        <f t="shared" si="25"/>
        <v>0.41030000000000005</v>
      </c>
      <c r="K133" s="147">
        <f t="shared" si="26"/>
        <v>0.46625</v>
      </c>
      <c r="L133" s="147">
        <f t="shared" si="26"/>
        <v>0.46625</v>
      </c>
      <c r="M133" s="147">
        <f t="shared" si="27"/>
        <v>0.4849</v>
      </c>
      <c r="N133" s="147">
        <f t="shared" si="27"/>
        <v>0.4849</v>
      </c>
      <c r="O133" s="147">
        <f t="shared" si="28"/>
        <v>0.5222</v>
      </c>
      <c r="P133" s="147">
        <f t="shared" si="28"/>
        <v>0.5222</v>
      </c>
      <c r="Q133" s="147">
        <f t="shared" si="29"/>
        <v>0.5595</v>
      </c>
      <c r="R133" s="147">
        <f t="shared" si="29"/>
        <v>0.5595</v>
      </c>
      <c r="S133" s="180" t="s">
        <v>432</v>
      </c>
    </row>
    <row r="134" spans="1:28">
      <c r="A134" s="117" t="s">
        <v>267</v>
      </c>
      <c r="B134" s="117" t="s">
        <v>268</v>
      </c>
      <c r="C134" s="117" t="s">
        <v>268</v>
      </c>
      <c r="D134" s="126" t="s">
        <v>152</v>
      </c>
      <c r="E134" s="126" t="s">
        <v>152</v>
      </c>
      <c r="F134" s="117" t="s">
        <v>130</v>
      </c>
      <c r="G134" s="121">
        <v>0.38</v>
      </c>
      <c r="H134" s="121">
        <v>0.38</v>
      </c>
      <c r="I134" s="121">
        <f t="shared" si="25"/>
        <v>0.41800000000000004</v>
      </c>
      <c r="J134" s="121">
        <f t="shared" si="25"/>
        <v>0.41800000000000004</v>
      </c>
      <c r="K134" s="121">
        <f t="shared" si="26"/>
        <v>0.47499999999999998</v>
      </c>
      <c r="L134" s="121">
        <f t="shared" si="26"/>
        <v>0.47499999999999998</v>
      </c>
      <c r="M134" s="121">
        <f t="shared" si="27"/>
        <v>0.49400000000000005</v>
      </c>
      <c r="N134" s="121">
        <f t="shared" si="27"/>
        <v>0.49400000000000005</v>
      </c>
      <c r="O134" s="121">
        <f t="shared" si="28"/>
        <v>0.53199999999999992</v>
      </c>
      <c r="P134" s="121">
        <f t="shared" si="28"/>
        <v>0.53199999999999992</v>
      </c>
      <c r="Q134" s="121">
        <f t="shared" si="29"/>
        <v>0.57000000000000006</v>
      </c>
      <c r="R134" s="121">
        <f t="shared" si="29"/>
        <v>0.57000000000000006</v>
      </c>
      <c r="S134" s="118" t="s">
        <v>269</v>
      </c>
      <c r="T134" s="108"/>
      <c r="U134" s="108"/>
      <c r="V134" s="108"/>
      <c r="W134" s="108"/>
      <c r="X134" s="108"/>
      <c r="Y134" s="108"/>
      <c r="Z134" s="108"/>
      <c r="AA134" s="108"/>
      <c r="AB134" s="108"/>
    </row>
    <row r="135" spans="1:28">
      <c r="A135" s="117" t="s">
        <v>270</v>
      </c>
      <c r="B135" s="117" t="s">
        <v>124</v>
      </c>
      <c r="C135" s="117" t="s">
        <v>124</v>
      </c>
      <c r="D135" s="117" t="s">
        <v>105</v>
      </c>
      <c r="E135" s="117" t="s">
        <v>105</v>
      </c>
      <c r="F135" s="117" t="s">
        <v>130</v>
      </c>
      <c r="G135" s="121">
        <v>0.38900000000000001</v>
      </c>
      <c r="H135" s="121">
        <v>0.38900000000000001</v>
      </c>
      <c r="I135" s="121">
        <f t="shared" si="25"/>
        <v>0.42790000000000006</v>
      </c>
      <c r="J135" s="121">
        <f t="shared" si="25"/>
        <v>0.42790000000000006</v>
      </c>
      <c r="K135" s="121">
        <f t="shared" si="26"/>
        <v>0.48625000000000002</v>
      </c>
      <c r="L135" s="121">
        <f t="shared" si="26"/>
        <v>0.48625000000000002</v>
      </c>
      <c r="M135" s="121">
        <f t="shared" si="27"/>
        <v>0.50570000000000004</v>
      </c>
      <c r="N135" s="121">
        <f t="shared" si="27"/>
        <v>0.50570000000000004</v>
      </c>
      <c r="O135" s="121">
        <f t="shared" si="28"/>
        <v>0.54459999999999997</v>
      </c>
      <c r="P135" s="121">
        <f t="shared" si="28"/>
        <v>0.54459999999999997</v>
      </c>
      <c r="Q135" s="121">
        <f t="shared" si="29"/>
        <v>0.58350000000000002</v>
      </c>
      <c r="R135" s="121">
        <f t="shared" si="29"/>
        <v>0.58350000000000002</v>
      </c>
      <c r="S135" s="118" t="s">
        <v>271</v>
      </c>
      <c r="T135" s="108"/>
      <c r="U135" s="108"/>
      <c r="V135" s="108"/>
      <c r="W135" s="108"/>
      <c r="X135" s="108"/>
      <c r="Y135" s="108"/>
      <c r="Z135" s="108"/>
      <c r="AA135" s="108"/>
      <c r="AB135" s="108"/>
    </row>
    <row r="136" spans="1:28">
      <c r="A136" s="117" t="s">
        <v>272</v>
      </c>
      <c r="B136" s="117" t="s">
        <v>273</v>
      </c>
      <c r="C136" s="117" t="s">
        <v>273</v>
      </c>
      <c r="D136" s="117" t="s">
        <v>122</v>
      </c>
      <c r="E136" s="117" t="s">
        <v>122</v>
      </c>
      <c r="F136" s="117" t="s">
        <v>130</v>
      </c>
      <c r="G136" s="121">
        <v>0.4</v>
      </c>
      <c r="H136" s="121">
        <v>0.4</v>
      </c>
      <c r="I136" s="121">
        <f t="shared" si="25"/>
        <v>0.44000000000000006</v>
      </c>
      <c r="J136" s="121">
        <f t="shared" si="25"/>
        <v>0.44000000000000006</v>
      </c>
      <c r="K136" s="121">
        <f t="shared" si="26"/>
        <v>0.5</v>
      </c>
      <c r="L136" s="121">
        <f t="shared" si="26"/>
        <v>0.5</v>
      </c>
      <c r="M136" s="121">
        <f t="shared" si="27"/>
        <v>0.52</v>
      </c>
      <c r="N136" s="121">
        <f t="shared" si="27"/>
        <v>0.52</v>
      </c>
      <c r="O136" s="121">
        <f t="shared" si="28"/>
        <v>0.55999999999999994</v>
      </c>
      <c r="P136" s="121">
        <f t="shared" si="28"/>
        <v>0.55999999999999994</v>
      </c>
      <c r="Q136" s="121">
        <f t="shared" si="29"/>
        <v>0.60000000000000009</v>
      </c>
      <c r="R136" s="121">
        <f t="shared" si="29"/>
        <v>0.60000000000000009</v>
      </c>
      <c r="S136" s="118" t="s">
        <v>274</v>
      </c>
      <c r="T136" s="108"/>
      <c r="U136" s="108"/>
      <c r="V136" s="108"/>
      <c r="W136" s="108"/>
      <c r="X136" s="108"/>
      <c r="Y136" s="108"/>
      <c r="Z136" s="108"/>
      <c r="AA136" s="108"/>
      <c r="AB136" s="108"/>
    </row>
    <row r="137" spans="1:28">
      <c r="A137" s="117" t="s">
        <v>275</v>
      </c>
      <c r="B137" s="117" t="s">
        <v>276</v>
      </c>
      <c r="C137" s="117" t="s">
        <v>276</v>
      </c>
      <c r="D137" s="117" t="s">
        <v>169</v>
      </c>
      <c r="E137" s="117" t="s">
        <v>169</v>
      </c>
      <c r="F137" s="117" t="s">
        <v>130</v>
      </c>
      <c r="G137" s="121">
        <v>0.40500000000000003</v>
      </c>
      <c r="H137" s="121">
        <v>0.40500000000000003</v>
      </c>
      <c r="I137" s="121">
        <f t="shared" si="25"/>
        <v>0.44550000000000006</v>
      </c>
      <c r="J137" s="121">
        <f t="shared" si="25"/>
        <v>0.44550000000000006</v>
      </c>
      <c r="K137" s="121">
        <f t="shared" si="26"/>
        <v>0.50625000000000009</v>
      </c>
      <c r="L137" s="121">
        <f t="shared" si="26"/>
        <v>0.50625000000000009</v>
      </c>
      <c r="M137" s="121">
        <f t="shared" si="27"/>
        <v>0.52650000000000008</v>
      </c>
      <c r="N137" s="121">
        <f t="shared" si="27"/>
        <v>0.52650000000000008</v>
      </c>
      <c r="O137" s="121">
        <f t="shared" si="28"/>
        <v>0.56699999999999995</v>
      </c>
      <c r="P137" s="121">
        <f t="shared" si="28"/>
        <v>0.56699999999999995</v>
      </c>
      <c r="Q137" s="121">
        <f t="shared" si="29"/>
        <v>0.60750000000000004</v>
      </c>
      <c r="R137" s="121">
        <f t="shared" si="29"/>
        <v>0.60750000000000004</v>
      </c>
      <c r="S137" s="118" t="s">
        <v>277</v>
      </c>
      <c r="T137" s="108"/>
      <c r="U137" s="108"/>
      <c r="V137" s="108"/>
      <c r="W137" s="108"/>
      <c r="X137" s="108"/>
      <c r="Y137" s="108"/>
      <c r="Z137" s="108"/>
      <c r="AA137" s="108"/>
      <c r="AB137" s="108"/>
    </row>
    <row r="138" spans="1:28" ht="20">
      <c r="A138" s="117" t="s">
        <v>278</v>
      </c>
      <c r="B138" s="117" t="s">
        <v>172</v>
      </c>
      <c r="C138" s="117" t="s">
        <v>172</v>
      </c>
      <c r="D138" s="117" t="s">
        <v>213</v>
      </c>
      <c r="E138" s="117" t="s">
        <v>213</v>
      </c>
      <c r="F138" s="117" t="s">
        <v>130</v>
      </c>
      <c r="G138" s="121">
        <v>0.41</v>
      </c>
      <c r="H138" s="121">
        <v>0.41</v>
      </c>
      <c r="I138" s="121">
        <f t="shared" si="25"/>
        <v>0.45100000000000001</v>
      </c>
      <c r="J138" s="121">
        <f t="shared" si="25"/>
        <v>0.45100000000000001</v>
      </c>
      <c r="K138" s="121">
        <f t="shared" si="26"/>
        <v>0.51249999999999996</v>
      </c>
      <c r="L138" s="121">
        <f t="shared" si="26"/>
        <v>0.51249999999999996</v>
      </c>
      <c r="M138" s="121">
        <f t="shared" si="27"/>
        <v>0.53300000000000003</v>
      </c>
      <c r="N138" s="121">
        <f t="shared" si="27"/>
        <v>0.53300000000000003</v>
      </c>
      <c r="O138" s="121">
        <f t="shared" si="28"/>
        <v>0.57399999999999995</v>
      </c>
      <c r="P138" s="121">
        <f t="shared" si="28"/>
        <v>0.57399999999999995</v>
      </c>
      <c r="Q138" s="121">
        <f t="shared" si="29"/>
        <v>0.61499999999999999</v>
      </c>
      <c r="R138" s="121">
        <f t="shared" si="29"/>
        <v>0.61499999999999999</v>
      </c>
      <c r="S138" s="118" t="s">
        <v>429</v>
      </c>
      <c r="T138" s="108"/>
      <c r="U138" s="108"/>
      <c r="V138" s="108"/>
      <c r="W138" s="108"/>
      <c r="X138" s="108"/>
      <c r="Y138" s="108"/>
      <c r="Z138" s="108"/>
      <c r="AA138" s="108"/>
      <c r="AB138" s="108"/>
    </row>
    <row r="139" spans="1:28">
      <c r="A139" s="117" t="s">
        <v>279</v>
      </c>
      <c r="B139" s="117" t="s">
        <v>155</v>
      </c>
      <c r="C139" s="117" t="s">
        <v>155</v>
      </c>
      <c r="D139" s="117" t="s">
        <v>186</v>
      </c>
      <c r="E139" s="117" t="s">
        <v>186</v>
      </c>
      <c r="F139" s="117" t="s">
        <v>130</v>
      </c>
      <c r="G139" s="121">
        <v>0.441</v>
      </c>
      <c r="H139" s="121">
        <v>0.441</v>
      </c>
      <c r="I139" s="121">
        <f t="shared" si="25"/>
        <v>0.48510000000000003</v>
      </c>
      <c r="J139" s="121">
        <f t="shared" si="25"/>
        <v>0.48510000000000003</v>
      </c>
      <c r="K139" s="121">
        <f t="shared" si="26"/>
        <v>0.55125000000000002</v>
      </c>
      <c r="L139" s="121">
        <f t="shared" si="26"/>
        <v>0.55125000000000002</v>
      </c>
      <c r="M139" s="121">
        <f t="shared" si="27"/>
        <v>0.57330000000000003</v>
      </c>
      <c r="N139" s="121">
        <f t="shared" si="27"/>
        <v>0.57330000000000003</v>
      </c>
      <c r="O139" s="121">
        <f t="shared" si="28"/>
        <v>0.61739999999999995</v>
      </c>
      <c r="P139" s="121">
        <f t="shared" si="28"/>
        <v>0.61739999999999995</v>
      </c>
      <c r="Q139" s="121">
        <f t="shared" si="29"/>
        <v>0.66149999999999998</v>
      </c>
      <c r="R139" s="121">
        <f t="shared" si="29"/>
        <v>0.66149999999999998</v>
      </c>
      <c r="S139" s="118" t="s">
        <v>387</v>
      </c>
      <c r="T139" s="108"/>
      <c r="U139" s="108"/>
      <c r="V139" s="108"/>
      <c r="W139" s="108"/>
      <c r="X139" s="108"/>
      <c r="Y139" s="108"/>
      <c r="Z139" s="108"/>
      <c r="AA139" s="108"/>
      <c r="AB139" s="108"/>
    </row>
    <row r="140" spans="1:28">
      <c r="A140" s="117" t="s">
        <v>280</v>
      </c>
      <c r="B140" s="117" t="s">
        <v>146</v>
      </c>
      <c r="C140" s="117" t="s">
        <v>146</v>
      </c>
      <c r="D140" s="117" t="s">
        <v>128</v>
      </c>
      <c r="E140" s="117" t="s">
        <v>128</v>
      </c>
      <c r="F140" s="117" t="s">
        <v>130</v>
      </c>
      <c r="G140" s="121">
        <v>0.432</v>
      </c>
      <c r="H140" s="121">
        <v>0.432</v>
      </c>
      <c r="I140" s="121">
        <f t="shared" si="25"/>
        <v>0.47520000000000001</v>
      </c>
      <c r="J140" s="121">
        <f t="shared" si="25"/>
        <v>0.47520000000000001</v>
      </c>
      <c r="K140" s="121">
        <f t="shared" si="26"/>
        <v>0.54</v>
      </c>
      <c r="L140" s="121">
        <f t="shared" si="26"/>
        <v>0.54</v>
      </c>
      <c r="M140" s="121">
        <f t="shared" si="27"/>
        <v>0.56159999999999999</v>
      </c>
      <c r="N140" s="121">
        <f t="shared" si="27"/>
        <v>0.56159999999999999</v>
      </c>
      <c r="O140" s="121">
        <f t="shared" si="28"/>
        <v>0.6048</v>
      </c>
      <c r="P140" s="121">
        <f t="shared" si="28"/>
        <v>0.6048</v>
      </c>
      <c r="Q140" s="121">
        <f t="shared" si="29"/>
        <v>0.64800000000000002</v>
      </c>
      <c r="R140" s="121">
        <f t="shared" si="29"/>
        <v>0.64800000000000002</v>
      </c>
      <c r="S140" s="118" t="s">
        <v>281</v>
      </c>
      <c r="T140" s="108"/>
      <c r="U140" s="108"/>
      <c r="V140" s="108"/>
      <c r="W140" s="108"/>
      <c r="X140" s="108"/>
      <c r="Y140" s="108"/>
      <c r="Z140" s="108"/>
      <c r="AA140" s="108"/>
      <c r="AB140" s="108"/>
    </row>
    <row r="142" spans="1:28">
      <c r="A142" s="117" t="s">
        <v>103</v>
      </c>
      <c r="G142" s="118"/>
      <c r="T142" s="108"/>
      <c r="U142" s="108"/>
      <c r="V142" s="108"/>
      <c r="W142" s="108"/>
      <c r="X142" s="108"/>
      <c r="Y142" s="108"/>
      <c r="Z142" s="108"/>
      <c r="AA142" s="108"/>
      <c r="AB142" s="108"/>
    </row>
    <row r="143" spans="1:28">
      <c r="A143" s="119" t="s">
        <v>282</v>
      </c>
      <c r="G143" s="121"/>
      <c r="T143" s="108"/>
      <c r="U143" s="108"/>
      <c r="V143" s="108"/>
      <c r="W143" s="108"/>
      <c r="X143" s="108"/>
      <c r="Y143" s="108"/>
      <c r="Z143" s="108"/>
      <c r="AA143" s="108"/>
      <c r="AB143" s="108"/>
    </row>
    <row r="144" spans="1:28">
      <c r="A144" s="117" t="s">
        <v>283</v>
      </c>
      <c r="B144" s="117" t="s">
        <v>144</v>
      </c>
      <c r="C144" s="117" t="s">
        <v>144</v>
      </c>
      <c r="D144" s="117" t="s">
        <v>183</v>
      </c>
      <c r="E144" s="117" t="s">
        <v>183</v>
      </c>
      <c r="F144" s="117" t="s">
        <v>130</v>
      </c>
      <c r="G144" s="121">
        <v>0.30399999999999999</v>
      </c>
      <c r="H144" s="121">
        <v>0.28499999999999998</v>
      </c>
      <c r="I144" s="121">
        <f t="shared" ref="I144:J178" si="30">$I$6*G144</f>
        <v>0.33440000000000003</v>
      </c>
      <c r="J144" s="121">
        <f t="shared" si="30"/>
        <v>0.3135</v>
      </c>
      <c r="K144" s="121">
        <f t="shared" ref="K144:L178" si="31">$K$6*G144</f>
        <v>0.38</v>
      </c>
      <c r="L144" s="121">
        <f t="shared" si="31"/>
        <v>0.35624999999999996</v>
      </c>
      <c r="M144" s="121">
        <f t="shared" ref="M144:N178" si="32">$M$6*G144</f>
        <v>0.3952</v>
      </c>
      <c r="N144" s="121">
        <f t="shared" si="32"/>
        <v>0.3705</v>
      </c>
      <c r="O144" s="121">
        <f t="shared" ref="O144:P178" si="33">$O$6*G144</f>
        <v>0.42559999999999998</v>
      </c>
      <c r="P144" s="121">
        <f t="shared" si="33"/>
        <v>0.39899999999999997</v>
      </c>
      <c r="Q144" s="121">
        <f t="shared" ref="Q144:R178" si="34">$Q$6*G144</f>
        <v>0.45599999999999996</v>
      </c>
      <c r="R144" s="121">
        <f t="shared" si="34"/>
        <v>0.42749999999999999</v>
      </c>
      <c r="S144" s="118" t="s">
        <v>284</v>
      </c>
      <c r="T144" s="108"/>
      <c r="U144" s="108"/>
      <c r="V144" s="108"/>
      <c r="W144" s="108"/>
      <c r="X144" s="108"/>
      <c r="Y144" s="108"/>
      <c r="Z144" s="108"/>
      <c r="AA144" s="108"/>
      <c r="AB144" s="108"/>
    </row>
    <row r="145" spans="1:28">
      <c r="A145" s="117" t="s">
        <v>285</v>
      </c>
      <c r="B145" s="117" t="s">
        <v>286</v>
      </c>
      <c r="C145" s="117" t="s">
        <v>286</v>
      </c>
      <c r="D145" s="117" t="s">
        <v>187</v>
      </c>
      <c r="E145" s="117" t="s">
        <v>187</v>
      </c>
      <c r="F145" s="117" t="s">
        <v>130</v>
      </c>
      <c r="G145" s="121">
        <v>0.25380000000000003</v>
      </c>
      <c r="H145" s="121">
        <v>0.25380000000000003</v>
      </c>
      <c r="I145" s="121">
        <f t="shared" si="30"/>
        <v>0.27918000000000004</v>
      </c>
      <c r="J145" s="121">
        <f t="shared" si="30"/>
        <v>0.27918000000000004</v>
      </c>
      <c r="K145" s="121">
        <f t="shared" si="31"/>
        <v>0.31725000000000003</v>
      </c>
      <c r="L145" s="121">
        <f t="shared" si="31"/>
        <v>0.31725000000000003</v>
      </c>
      <c r="M145" s="121">
        <f t="shared" si="32"/>
        <v>0.32994000000000007</v>
      </c>
      <c r="N145" s="121">
        <f t="shared" si="32"/>
        <v>0.32994000000000007</v>
      </c>
      <c r="O145" s="121">
        <f t="shared" si="33"/>
        <v>0.35532000000000002</v>
      </c>
      <c r="P145" s="121">
        <f t="shared" si="33"/>
        <v>0.35532000000000002</v>
      </c>
      <c r="Q145" s="121">
        <f t="shared" si="34"/>
        <v>0.38070000000000004</v>
      </c>
      <c r="R145" s="121">
        <f t="shared" si="34"/>
        <v>0.38070000000000004</v>
      </c>
      <c r="S145" s="118" t="s">
        <v>426</v>
      </c>
      <c r="T145" s="108"/>
      <c r="U145" s="108"/>
      <c r="V145" s="108"/>
      <c r="W145" s="108"/>
      <c r="X145" s="108"/>
      <c r="Y145" s="108"/>
      <c r="Z145" s="108"/>
      <c r="AA145" s="108"/>
      <c r="AB145" s="108"/>
    </row>
    <row r="146" spans="1:28" ht="20">
      <c r="A146" s="117">
        <v>73</v>
      </c>
      <c r="B146" s="117" t="s">
        <v>128</v>
      </c>
      <c r="C146" s="117" t="s">
        <v>128</v>
      </c>
      <c r="D146" s="117" t="s">
        <v>286</v>
      </c>
      <c r="E146" s="117" t="s">
        <v>286</v>
      </c>
      <c r="F146" s="117" t="s">
        <v>130</v>
      </c>
      <c r="G146" s="121">
        <v>0.38729999999999998</v>
      </c>
      <c r="H146" s="121">
        <v>0.38729999999999998</v>
      </c>
      <c r="I146" s="121">
        <f t="shared" si="30"/>
        <v>0.42603000000000002</v>
      </c>
      <c r="J146" s="121">
        <f t="shared" si="30"/>
        <v>0.42603000000000002</v>
      </c>
      <c r="K146" s="121">
        <f t="shared" si="31"/>
        <v>0.48412499999999997</v>
      </c>
      <c r="L146" s="121">
        <f t="shared" si="31"/>
        <v>0.48412499999999997</v>
      </c>
      <c r="M146" s="121">
        <f t="shared" si="32"/>
        <v>0.50348999999999999</v>
      </c>
      <c r="N146" s="121">
        <f t="shared" si="32"/>
        <v>0.50348999999999999</v>
      </c>
      <c r="O146" s="121">
        <f t="shared" si="33"/>
        <v>0.54221999999999992</v>
      </c>
      <c r="P146" s="121">
        <f t="shared" si="33"/>
        <v>0.54221999999999992</v>
      </c>
      <c r="Q146" s="121">
        <f t="shared" si="34"/>
        <v>0.58094999999999997</v>
      </c>
      <c r="R146" s="121">
        <f t="shared" si="34"/>
        <v>0.58094999999999997</v>
      </c>
      <c r="S146" s="118" t="s">
        <v>430</v>
      </c>
      <c r="T146" s="108"/>
      <c r="U146" s="108"/>
      <c r="V146" s="108"/>
      <c r="W146" s="108"/>
      <c r="X146" s="108"/>
      <c r="Y146" s="108"/>
      <c r="Z146" s="108"/>
      <c r="AA146" s="108"/>
      <c r="AB146" s="108"/>
    </row>
    <row r="147" spans="1:28">
      <c r="A147" s="127" t="s">
        <v>287</v>
      </c>
      <c r="B147" s="117" t="s">
        <v>128</v>
      </c>
      <c r="C147" s="117" t="s">
        <v>40</v>
      </c>
      <c r="D147" s="117" t="s">
        <v>286</v>
      </c>
      <c r="E147" s="117" t="s">
        <v>113</v>
      </c>
      <c r="F147" s="117" t="s">
        <v>130</v>
      </c>
      <c r="G147" s="121">
        <v>0.38729999999999998</v>
      </c>
      <c r="H147" s="121">
        <v>0.38450000000000001</v>
      </c>
      <c r="I147" s="121">
        <f t="shared" si="30"/>
        <v>0.42603000000000002</v>
      </c>
      <c r="J147" s="121">
        <f t="shared" si="30"/>
        <v>0.42295000000000005</v>
      </c>
      <c r="K147" s="121">
        <f t="shared" si="31"/>
        <v>0.48412499999999997</v>
      </c>
      <c r="L147" s="121">
        <f t="shared" si="31"/>
        <v>0.48062500000000002</v>
      </c>
      <c r="M147" s="121">
        <f t="shared" si="32"/>
        <v>0.50348999999999999</v>
      </c>
      <c r="N147" s="121">
        <f t="shared" si="32"/>
        <v>0.49985000000000002</v>
      </c>
      <c r="O147" s="121">
        <f t="shared" si="33"/>
        <v>0.54221999999999992</v>
      </c>
      <c r="P147" s="121">
        <f t="shared" si="33"/>
        <v>0.5383</v>
      </c>
      <c r="Q147" s="121">
        <f t="shared" si="34"/>
        <v>0.58094999999999997</v>
      </c>
      <c r="R147" s="121">
        <f t="shared" si="34"/>
        <v>0.57674999999999998</v>
      </c>
      <c r="S147" s="118" t="s">
        <v>288</v>
      </c>
      <c r="T147" s="108"/>
      <c r="U147" s="108"/>
      <c r="V147" s="108"/>
      <c r="W147" s="108"/>
      <c r="X147" s="108"/>
      <c r="Y147" s="108"/>
      <c r="Z147" s="108"/>
      <c r="AA147" s="108"/>
      <c r="AB147" s="108"/>
    </row>
    <row r="148" spans="1:28">
      <c r="A148" s="117">
        <v>86</v>
      </c>
      <c r="B148" s="117" t="s">
        <v>40</v>
      </c>
      <c r="C148" s="117" t="s">
        <v>40</v>
      </c>
      <c r="D148" s="117" t="s">
        <v>113</v>
      </c>
      <c r="E148" s="117" t="s">
        <v>113</v>
      </c>
      <c r="F148" s="117" t="s">
        <v>130</v>
      </c>
      <c r="G148" s="121">
        <v>0.32540000000000002</v>
      </c>
      <c r="H148" s="121">
        <v>0.32540000000000002</v>
      </c>
      <c r="I148" s="121">
        <f t="shared" si="30"/>
        <v>0.35794000000000004</v>
      </c>
      <c r="J148" s="121">
        <f t="shared" si="30"/>
        <v>0.35794000000000004</v>
      </c>
      <c r="K148" s="121">
        <f t="shared" si="31"/>
        <v>0.40675000000000006</v>
      </c>
      <c r="L148" s="121">
        <f t="shared" si="31"/>
        <v>0.40675000000000006</v>
      </c>
      <c r="M148" s="121">
        <f t="shared" si="32"/>
        <v>0.42302000000000006</v>
      </c>
      <c r="N148" s="121">
        <f t="shared" si="32"/>
        <v>0.42302000000000006</v>
      </c>
      <c r="O148" s="121">
        <f t="shared" si="33"/>
        <v>0.45556000000000002</v>
      </c>
      <c r="P148" s="121">
        <f t="shared" si="33"/>
        <v>0.45556000000000002</v>
      </c>
      <c r="Q148" s="121">
        <f t="shared" si="34"/>
        <v>0.48810000000000003</v>
      </c>
      <c r="R148" s="121">
        <f t="shared" si="34"/>
        <v>0.48810000000000003</v>
      </c>
      <c r="S148" s="118" t="s">
        <v>406</v>
      </c>
      <c r="T148" s="108"/>
      <c r="U148" s="108"/>
      <c r="V148" s="108"/>
      <c r="W148" s="108"/>
      <c r="X148" s="108"/>
      <c r="Y148" s="108"/>
      <c r="Z148" s="108"/>
      <c r="AA148" s="108"/>
      <c r="AB148" s="108"/>
    </row>
    <row r="149" spans="1:28" s="148" customFormat="1">
      <c r="A149" s="146" t="s">
        <v>289</v>
      </c>
      <c r="B149" s="146" t="s">
        <v>116</v>
      </c>
      <c r="C149" s="146" t="s">
        <v>116</v>
      </c>
      <c r="D149" s="146" t="s">
        <v>117</v>
      </c>
      <c r="E149" s="146" t="s">
        <v>117</v>
      </c>
      <c r="F149" s="146" t="s">
        <v>130</v>
      </c>
      <c r="G149" s="147">
        <v>0.33460000000000001</v>
      </c>
      <c r="H149" s="147">
        <v>0.33460000000000001</v>
      </c>
      <c r="I149" s="147">
        <f t="shared" si="30"/>
        <v>0.36806000000000005</v>
      </c>
      <c r="J149" s="147">
        <f t="shared" si="30"/>
        <v>0.36806000000000005</v>
      </c>
      <c r="K149" s="147">
        <f t="shared" si="31"/>
        <v>0.41825000000000001</v>
      </c>
      <c r="L149" s="147">
        <f t="shared" si="31"/>
        <v>0.41825000000000001</v>
      </c>
      <c r="M149" s="147">
        <f t="shared" si="32"/>
        <v>0.43498000000000003</v>
      </c>
      <c r="N149" s="147">
        <f t="shared" si="32"/>
        <v>0.43498000000000003</v>
      </c>
      <c r="O149" s="147">
        <f t="shared" si="33"/>
        <v>0.46843999999999997</v>
      </c>
      <c r="P149" s="147">
        <f t="shared" si="33"/>
        <v>0.46843999999999997</v>
      </c>
      <c r="Q149" s="147">
        <f t="shared" si="34"/>
        <v>0.50190000000000001</v>
      </c>
      <c r="R149" s="147">
        <f t="shared" si="34"/>
        <v>0.50190000000000001</v>
      </c>
      <c r="S149" s="167" t="s">
        <v>388</v>
      </c>
    </row>
    <row r="150" spans="1:28" s="148" customFormat="1">
      <c r="A150" s="146" t="s">
        <v>290</v>
      </c>
      <c r="B150" s="146" t="s">
        <v>149</v>
      </c>
      <c r="C150" s="146" t="s">
        <v>149</v>
      </c>
      <c r="D150" s="146" t="s">
        <v>108</v>
      </c>
      <c r="E150" s="146" t="s">
        <v>108</v>
      </c>
      <c r="F150" s="146" t="s">
        <v>130</v>
      </c>
      <c r="G150" s="147">
        <v>0.3846</v>
      </c>
      <c r="H150" s="147">
        <v>0.3846</v>
      </c>
      <c r="I150" s="147">
        <f t="shared" si="30"/>
        <v>0.42306000000000005</v>
      </c>
      <c r="J150" s="147">
        <f t="shared" si="30"/>
        <v>0.42306000000000005</v>
      </c>
      <c r="K150" s="147">
        <f t="shared" si="31"/>
        <v>0.48075000000000001</v>
      </c>
      <c r="L150" s="147">
        <f t="shared" si="31"/>
        <v>0.48075000000000001</v>
      </c>
      <c r="M150" s="147">
        <f t="shared" si="32"/>
        <v>0.49998000000000004</v>
      </c>
      <c r="N150" s="147">
        <f t="shared" si="32"/>
        <v>0.49998000000000004</v>
      </c>
      <c r="O150" s="147">
        <f t="shared" si="33"/>
        <v>0.53843999999999992</v>
      </c>
      <c r="P150" s="147">
        <f t="shared" si="33"/>
        <v>0.53843999999999992</v>
      </c>
      <c r="Q150" s="147">
        <f t="shared" si="34"/>
        <v>0.57689999999999997</v>
      </c>
      <c r="R150" s="147">
        <f t="shared" si="34"/>
        <v>0.57689999999999997</v>
      </c>
      <c r="S150" s="167" t="s">
        <v>389</v>
      </c>
    </row>
    <row r="151" spans="1:28">
      <c r="A151" s="117" t="s">
        <v>291</v>
      </c>
      <c r="B151" s="117" t="s">
        <v>176</v>
      </c>
      <c r="C151" s="117" t="s">
        <v>176</v>
      </c>
      <c r="D151" s="117" t="s">
        <v>122</v>
      </c>
      <c r="E151" s="117" t="s">
        <v>122</v>
      </c>
      <c r="F151" s="117" t="s">
        <v>130</v>
      </c>
      <c r="G151" s="121">
        <v>0.39</v>
      </c>
      <c r="H151" s="121">
        <v>0.39</v>
      </c>
      <c r="I151" s="121">
        <f t="shared" si="30"/>
        <v>0.42900000000000005</v>
      </c>
      <c r="J151" s="121">
        <f t="shared" si="30"/>
        <v>0.42900000000000005</v>
      </c>
      <c r="K151" s="121">
        <f t="shared" si="31"/>
        <v>0.48750000000000004</v>
      </c>
      <c r="L151" s="121">
        <f t="shared" si="31"/>
        <v>0.48750000000000004</v>
      </c>
      <c r="M151" s="121">
        <f t="shared" si="32"/>
        <v>0.50700000000000001</v>
      </c>
      <c r="N151" s="121">
        <f t="shared" si="32"/>
        <v>0.50700000000000001</v>
      </c>
      <c r="O151" s="121">
        <f t="shared" si="33"/>
        <v>0.54599999999999993</v>
      </c>
      <c r="P151" s="121">
        <f t="shared" si="33"/>
        <v>0.54599999999999993</v>
      </c>
      <c r="Q151" s="121">
        <f t="shared" si="34"/>
        <v>0.58499999999999996</v>
      </c>
      <c r="R151" s="121">
        <f t="shared" si="34"/>
        <v>0.58499999999999996</v>
      </c>
      <c r="S151" s="118" t="s">
        <v>292</v>
      </c>
      <c r="T151" s="108"/>
      <c r="U151" s="108"/>
      <c r="V151" s="108"/>
      <c r="W151" s="108"/>
      <c r="X151" s="108"/>
      <c r="Y151" s="108"/>
      <c r="Z151" s="108"/>
      <c r="AA151" s="108"/>
      <c r="AB151" s="108"/>
    </row>
    <row r="152" spans="1:28">
      <c r="A152" s="117" t="s">
        <v>293</v>
      </c>
      <c r="B152" s="117" t="s">
        <v>149</v>
      </c>
      <c r="C152" s="117" t="s">
        <v>176</v>
      </c>
      <c r="D152" s="117" t="s">
        <v>108</v>
      </c>
      <c r="E152" s="117" t="s">
        <v>122</v>
      </c>
      <c r="F152" s="117" t="s">
        <v>130</v>
      </c>
      <c r="G152" s="121">
        <v>0.3846</v>
      </c>
      <c r="H152" s="121">
        <v>0.39</v>
      </c>
      <c r="I152" s="121">
        <f t="shared" si="30"/>
        <v>0.42306000000000005</v>
      </c>
      <c r="J152" s="121">
        <f t="shared" si="30"/>
        <v>0.42900000000000005</v>
      </c>
      <c r="K152" s="121">
        <f t="shared" si="31"/>
        <v>0.48075000000000001</v>
      </c>
      <c r="L152" s="121">
        <f t="shared" si="31"/>
        <v>0.48750000000000004</v>
      </c>
      <c r="M152" s="121">
        <f t="shared" si="32"/>
        <v>0.49998000000000004</v>
      </c>
      <c r="N152" s="121">
        <f t="shared" si="32"/>
        <v>0.50700000000000001</v>
      </c>
      <c r="O152" s="121">
        <f t="shared" si="33"/>
        <v>0.53843999999999992</v>
      </c>
      <c r="P152" s="121">
        <f t="shared" si="33"/>
        <v>0.54599999999999993</v>
      </c>
      <c r="Q152" s="121">
        <f t="shared" si="34"/>
        <v>0.57689999999999997</v>
      </c>
      <c r="R152" s="121">
        <f t="shared" si="34"/>
        <v>0.58499999999999996</v>
      </c>
      <c r="S152" s="118" t="s">
        <v>390</v>
      </c>
      <c r="T152" s="108"/>
      <c r="U152" s="108"/>
      <c r="V152" s="108"/>
      <c r="W152" s="108"/>
      <c r="X152" s="108"/>
      <c r="Y152" s="108"/>
      <c r="Z152" s="108"/>
      <c r="AA152" s="108"/>
      <c r="AB152" s="108"/>
    </row>
    <row r="153" spans="1:28">
      <c r="A153" s="117">
        <v>91</v>
      </c>
      <c r="B153" s="117" t="s">
        <v>294</v>
      </c>
      <c r="C153" s="117" t="s">
        <v>294</v>
      </c>
      <c r="D153" s="117" t="s">
        <v>113</v>
      </c>
      <c r="E153" s="117" t="s">
        <v>113</v>
      </c>
      <c r="F153" s="117" t="s">
        <v>130</v>
      </c>
      <c r="G153" s="121">
        <v>0.33079999999999998</v>
      </c>
      <c r="H153" s="121">
        <v>0.33079999999999998</v>
      </c>
      <c r="I153" s="121">
        <f t="shared" si="30"/>
        <v>0.36388000000000004</v>
      </c>
      <c r="J153" s="121">
        <f t="shared" si="30"/>
        <v>0.36388000000000004</v>
      </c>
      <c r="K153" s="121">
        <f t="shared" si="31"/>
        <v>0.41349999999999998</v>
      </c>
      <c r="L153" s="121">
        <f t="shared" si="31"/>
        <v>0.41349999999999998</v>
      </c>
      <c r="M153" s="121">
        <f t="shared" si="32"/>
        <v>0.43003999999999998</v>
      </c>
      <c r="N153" s="121">
        <f t="shared" si="32"/>
        <v>0.43003999999999998</v>
      </c>
      <c r="O153" s="121">
        <f t="shared" si="33"/>
        <v>0.46311999999999992</v>
      </c>
      <c r="P153" s="121">
        <f t="shared" si="33"/>
        <v>0.46311999999999992</v>
      </c>
      <c r="Q153" s="121">
        <f t="shared" si="34"/>
        <v>0.49619999999999997</v>
      </c>
      <c r="R153" s="121">
        <f t="shared" si="34"/>
        <v>0.49619999999999997</v>
      </c>
      <c r="S153" s="118" t="s">
        <v>295</v>
      </c>
      <c r="T153" s="108"/>
      <c r="U153" s="108"/>
      <c r="V153" s="108"/>
      <c r="W153" s="108"/>
      <c r="X153" s="108"/>
      <c r="Y153" s="108"/>
      <c r="Z153" s="108"/>
      <c r="AA153" s="108"/>
      <c r="AB153" s="108"/>
    </row>
    <row r="154" spans="1:28">
      <c r="A154" s="117" t="s">
        <v>296</v>
      </c>
      <c r="B154" s="117" t="s">
        <v>297</v>
      </c>
      <c r="C154" s="117" t="s">
        <v>297</v>
      </c>
      <c r="D154" s="117" t="s">
        <v>298</v>
      </c>
      <c r="E154" s="117" t="s">
        <v>298</v>
      </c>
      <c r="F154" s="117" t="s">
        <v>130</v>
      </c>
      <c r="G154" s="121">
        <v>0.33079999999999998</v>
      </c>
      <c r="H154" s="121">
        <v>0.33079999999999998</v>
      </c>
      <c r="I154" s="121">
        <f t="shared" si="30"/>
        <v>0.36388000000000004</v>
      </c>
      <c r="J154" s="121">
        <f t="shared" si="30"/>
        <v>0.36388000000000004</v>
      </c>
      <c r="K154" s="121">
        <f t="shared" si="31"/>
        <v>0.41349999999999998</v>
      </c>
      <c r="L154" s="121">
        <f t="shared" si="31"/>
        <v>0.41349999999999998</v>
      </c>
      <c r="M154" s="121">
        <f t="shared" si="32"/>
        <v>0.43003999999999998</v>
      </c>
      <c r="N154" s="121">
        <f t="shared" si="32"/>
        <v>0.43003999999999998</v>
      </c>
      <c r="O154" s="121">
        <f t="shared" si="33"/>
        <v>0.46311999999999992</v>
      </c>
      <c r="P154" s="121">
        <f t="shared" si="33"/>
        <v>0.46311999999999992</v>
      </c>
      <c r="Q154" s="121">
        <f t="shared" si="34"/>
        <v>0.49619999999999997</v>
      </c>
      <c r="R154" s="121">
        <f t="shared" si="34"/>
        <v>0.49619999999999997</v>
      </c>
      <c r="S154" s="118" t="s">
        <v>400</v>
      </c>
      <c r="T154" s="108"/>
      <c r="U154" s="108"/>
      <c r="V154" s="108"/>
      <c r="W154" s="108"/>
      <c r="X154" s="108"/>
      <c r="Y154" s="108"/>
      <c r="Z154" s="108"/>
      <c r="AA154" s="108"/>
      <c r="AB154" s="108"/>
    </row>
    <row r="155" spans="1:28">
      <c r="A155" s="126">
        <v>109</v>
      </c>
      <c r="B155" s="117" t="s">
        <v>146</v>
      </c>
      <c r="C155" s="117" t="s">
        <v>146</v>
      </c>
      <c r="D155" s="117" t="s">
        <v>108</v>
      </c>
      <c r="E155" s="117" t="s">
        <v>108</v>
      </c>
      <c r="F155" s="117" t="s">
        <v>130</v>
      </c>
      <c r="G155" s="121">
        <v>0.42299999999999999</v>
      </c>
      <c r="H155" s="121">
        <v>0.42299999999999999</v>
      </c>
      <c r="I155" s="121">
        <f t="shared" si="30"/>
        <v>0.46530000000000005</v>
      </c>
      <c r="J155" s="121">
        <f t="shared" si="30"/>
        <v>0.46530000000000005</v>
      </c>
      <c r="K155" s="121">
        <f t="shared" si="31"/>
        <v>0.52874999999999994</v>
      </c>
      <c r="L155" s="121">
        <f t="shared" si="31"/>
        <v>0.52874999999999994</v>
      </c>
      <c r="M155" s="121">
        <f t="shared" si="32"/>
        <v>0.54990000000000006</v>
      </c>
      <c r="N155" s="121">
        <f t="shared" si="32"/>
        <v>0.54990000000000006</v>
      </c>
      <c r="O155" s="121">
        <f t="shared" si="33"/>
        <v>0.59219999999999995</v>
      </c>
      <c r="P155" s="121">
        <f t="shared" si="33"/>
        <v>0.59219999999999995</v>
      </c>
      <c r="Q155" s="121">
        <f t="shared" si="34"/>
        <v>0.63449999999999995</v>
      </c>
      <c r="R155" s="121">
        <f t="shared" si="34"/>
        <v>0.63449999999999995</v>
      </c>
      <c r="S155" s="118" t="s">
        <v>401</v>
      </c>
      <c r="T155" s="108"/>
      <c r="U155" s="108"/>
      <c r="V155" s="108"/>
      <c r="W155" s="108"/>
      <c r="X155" s="108"/>
      <c r="Y155" s="108"/>
      <c r="Z155" s="108"/>
      <c r="AA155" s="108"/>
      <c r="AB155" s="108"/>
    </row>
    <row r="156" spans="1:28">
      <c r="A156" s="127" t="s">
        <v>299</v>
      </c>
      <c r="B156" s="117" t="s">
        <v>146</v>
      </c>
      <c r="C156" s="117" t="s">
        <v>111</v>
      </c>
      <c r="D156" s="117" t="s">
        <v>108</v>
      </c>
      <c r="E156" s="117" t="s">
        <v>300</v>
      </c>
      <c r="F156" s="117" t="s">
        <v>130</v>
      </c>
      <c r="G156" s="121">
        <v>0.42299999999999999</v>
      </c>
      <c r="H156" s="121">
        <v>0.38400000000000001</v>
      </c>
      <c r="I156" s="121">
        <f t="shared" si="30"/>
        <v>0.46530000000000005</v>
      </c>
      <c r="J156" s="121">
        <f t="shared" si="30"/>
        <v>0.42240000000000005</v>
      </c>
      <c r="K156" s="121">
        <f t="shared" si="31"/>
        <v>0.52874999999999994</v>
      </c>
      <c r="L156" s="121">
        <f t="shared" si="31"/>
        <v>0.48</v>
      </c>
      <c r="M156" s="121">
        <f t="shared" si="32"/>
        <v>0.54990000000000006</v>
      </c>
      <c r="N156" s="121">
        <f t="shared" si="32"/>
        <v>0.49920000000000003</v>
      </c>
      <c r="O156" s="121">
        <f t="shared" si="33"/>
        <v>0.59219999999999995</v>
      </c>
      <c r="P156" s="121">
        <f t="shared" si="33"/>
        <v>0.53759999999999997</v>
      </c>
      <c r="Q156" s="121">
        <f t="shared" si="34"/>
        <v>0.63449999999999995</v>
      </c>
      <c r="R156" s="121">
        <f t="shared" si="34"/>
        <v>0.57600000000000007</v>
      </c>
      <c r="S156" s="118" t="s">
        <v>397</v>
      </c>
      <c r="T156" s="108"/>
      <c r="U156" s="108"/>
      <c r="V156" s="108"/>
      <c r="W156" s="108"/>
      <c r="X156" s="108"/>
      <c r="Y156" s="108"/>
      <c r="Z156" s="108"/>
      <c r="AA156" s="108"/>
      <c r="AB156" s="108"/>
    </row>
    <row r="157" spans="1:28">
      <c r="A157" s="127" t="s">
        <v>301</v>
      </c>
      <c r="B157" s="117" t="s">
        <v>146</v>
      </c>
      <c r="C157" s="117" t="s">
        <v>146</v>
      </c>
      <c r="D157" s="117" t="s">
        <v>108</v>
      </c>
      <c r="E157" s="117" t="s">
        <v>108</v>
      </c>
      <c r="F157" s="117" t="s">
        <v>130</v>
      </c>
      <c r="G157" s="121">
        <v>0.42299999999999999</v>
      </c>
      <c r="H157" s="121">
        <v>0.42299999999999999</v>
      </c>
      <c r="I157" s="121">
        <f t="shared" si="30"/>
        <v>0.46530000000000005</v>
      </c>
      <c r="J157" s="121">
        <f t="shared" si="30"/>
        <v>0.46530000000000005</v>
      </c>
      <c r="K157" s="121">
        <f t="shared" si="31"/>
        <v>0.52874999999999994</v>
      </c>
      <c r="L157" s="121">
        <f t="shared" si="31"/>
        <v>0.52874999999999994</v>
      </c>
      <c r="M157" s="121">
        <f t="shared" si="32"/>
        <v>0.54990000000000006</v>
      </c>
      <c r="N157" s="121">
        <f t="shared" si="32"/>
        <v>0.54990000000000006</v>
      </c>
      <c r="O157" s="121">
        <f t="shared" si="33"/>
        <v>0.59219999999999995</v>
      </c>
      <c r="P157" s="121">
        <f t="shared" si="33"/>
        <v>0.59219999999999995</v>
      </c>
      <c r="Q157" s="121">
        <f t="shared" si="34"/>
        <v>0.63449999999999995</v>
      </c>
      <c r="R157" s="121">
        <f t="shared" si="34"/>
        <v>0.63449999999999995</v>
      </c>
      <c r="S157" s="118" t="s">
        <v>424</v>
      </c>
      <c r="T157" s="108"/>
      <c r="U157" s="108"/>
      <c r="V157" s="108"/>
      <c r="W157" s="108"/>
      <c r="X157" s="108"/>
      <c r="Y157" s="108"/>
      <c r="Z157" s="108"/>
      <c r="AA157" s="108"/>
      <c r="AB157" s="108"/>
    </row>
    <row r="158" spans="1:28" s="148" customFormat="1">
      <c r="A158" s="146">
        <v>110</v>
      </c>
      <c r="B158" s="146" t="s">
        <v>112</v>
      </c>
      <c r="C158" s="146" t="s">
        <v>112</v>
      </c>
      <c r="D158" s="146" t="s">
        <v>147</v>
      </c>
      <c r="E158" s="146" t="s">
        <v>147</v>
      </c>
      <c r="F158" s="146" t="s">
        <v>130</v>
      </c>
      <c r="G158" s="147">
        <v>0.39500000000000002</v>
      </c>
      <c r="H158" s="147">
        <v>0.39500000000000002</v>
      </c>
      <c r="I158" s="147">
        <f t="shared" si="30"/>
        <v>0.43450000000000005</v>
      </c>
      <c r="J158" s="147">
        <f t="shared" si="30"/>
        <v>0.43450000000000005</v>
      </c>
      <c r="K158" s="147">
        <f t="shared" si="31"/>
        <v>0.49375000000000002</v>
      </c>
      <c r="L158" s="147">
        <f t="shared" si="31"/>
        <v>0.49375000000000002</v>
      </c>
      <c r="M158" s="147">
        <f t="shared" si="32"/>
        <v>0.51350000000000007</v>
      </c>
      <c r="N158" s="147">
        <f t="shared" si="32"/>
        <v>0.51350000000000007</v>
      </c>
      <c r="O158" s="147">
        <f t="shared" si="33"/>
        <v>0.55299999999999994</v>
      </c>
      <c r="P158" s="147">
        <f t="shared" si="33"/>
        <v>0.55299999999999994</v>
      </c>
      <c r="Q158" s="147">
        <f t="shared" si="34"/>
        <v>0.59250000000000003</v>
      </c>
      <c r="R158" s="147">
        <f t="shared" si="34"/>
        <v>0.59250000000000003</v>
      </c>
      <c r="S158" s="167" t="s">
        <v>302</v>
      </c>
    </row>
    <row r="159" spans="1:28">
      <c r="A159" s="127" t="s">
        <v>303</v>
      </c>
      <c r="B159" s="117" t="s">
        <v>112</v>
      </c>
      <c r="C159" s="117" t="s">
        <v>111</v>
      </c>
      <c r="D159" s="117" t="s">
        <v>147</v>
      </c>
      <c r="E159" s="117" t="s">
        <v>300</v>
      </c>
      <c r="F159" s="117" t="s">
        <v>130</v>
      </c>
      <c r="G159" s="121">
        <v>0.39500000000000002</v>
      </c>
      <c r="H159" s="121">
        <v>0.38400000000000001</v>
      </c>
      <c r="I159" s="121">
        <f t="shared" si="30"/>
        <v>0.43450000000000005</v>
      </c>
      <c r="J159" s="121">
        <f t="shared" si="30"/>
        <v>0.42240000000000005</v>
      </c>
      <c r="K159" s="121">
        <f t="shared" si="31"/>
        <v>0.49375000000000002</v>
      </c>
      <c r="L159" s="121">
        <f t="shared" si="31"/>
        <v>0.48</v>
      </c>
      <c r="M159" s="121">
        <f t="shared" si="32"/>
        <v>0.51350000000000007</v>
      </c>
      <c r="N159" s="121">
        <f t="shared" si="32"/>
        <v>0.49920000000000003</v>
      </c>
      <c r="O159" s="121">
        <f t="shared" si="33"/>
        <v>0.55299999999999994</v>
      </c>
      <c r="P159" s="121">
        <f t="shared" si="33"/>
        <v>0.53759999999999997</v>
      </c>
      <c r="Q159" s="121">
        <f t="shared" si="34"/>
        <v>0.59250000000000003</v>
      </c>
      <c r="R159" s="121">
        <f t="shared" si="34"/>
        <v>0.57600000000000007</v>
      </c>
      <c r="S159" s="118" t="s">
        <v>304</v>
      </c>
      <c r="T159" s="108"/>
      <c r="U159" s="108"/>
      <c r="V159" s="108"/>
      <c r="W159" s="108"/>
      <c r="X159" s="108"/>
      <c r="Y159" s="108"/>
      <c r="Z159" s="108"/>
      <c r="AA159" s="108"/>
      <c r="AB159" s="108"/>
    </row>
    <row r="160" spans="1:28">
      <c r="A160" s="127" t="s">
        <v>305</v>
      </c>
      <c r="B160" s="117" t="s">
        <v>112</v>
      </c>
      <c r="C160" s="117" t="s">
        <v>112</v>
      </c>
      <c r="D160" s="117" t="s">
        <v>147</v>
      </c>
      <c r="E160" s="117" t="s">
        <v>198</v>
      </c>
      <c r="F160" s="117" t="s">
        <v>130</v>
      </c>
      <c r="G160" s="121">
        <v>0.39500000000000002</v>
      </c>
      <c r="H160" s="121">
        <v>0.3836</v>
      </c>
      <c r="I160" s="121">
        <f t="shared" si="30"/>
        <v>0.43450000000000005</v>
      </c>
      <c r="J160" s="121">
        <f t="shared" si="30"/>
        <v>0.42196000000000006</v>
      </c>
      <c r="K160" s="121">
        <f t="shared" si="31"/>
        <v>0.49375000000000002</v>
      </c>
      <c r="L160" s="121">
        <f t="shared" si="31"/>
        <v>0.47949999999999998</v>
      </c>
      <c r="M160" s="121">
        <f t="shared" si="32"/>
        <v>0.51350000000000007</v>
      </c>
      <c r="N160" s="121">
        <f t="shared" si="32"/>
        <v>0.49868000000000001</v>
      </c>
      <c r="O160" s="121">
        <f t="shared" si="33"/>
        <v>0.55299999999999994</v>
      </c>
      <c r="P160" s="121">
        <f t="shared" si="33"/>
        <v>0.53703999999999996</v>
      </c>
      <c r="Q160" s="121">
        <f t="shared" si="34"/>
        <v>0.59250000000000003</v>
      </c>
      <c r="R160" s="121">
        <f t="shared" si="34"/>
        <v>0.57540000000000002</v>
      </c>
      <c r="S160" s="118" t="s">
        <v>398</v>
      </c>
      <c r="T160" s="108"/>
      <c r="U160" s="108"/>
      <c r="V160" s="108"/>
      <c r="W160" s="108"/>
      <c r="X160" s="108"/>
      <c r="Y160" s="108"/>
      <c r="Z160" s="108"/>
      <c r="AA160" s="108"/>
      <c r="AB160" s="108"/>
    </row>
    <row r="161" spans="1:28">
      <c r="A161" s="117">
        <v>111</v>
      </c>
      <c r="B161" s="117" t="s">
        <v>122</v>
      </c>
      <c r="C161" s="117" t="s">
        <v>122</v>
      </c>
      <c r="D161" s="117" t="s">
        <v>262</v>
      </c>
      <c r="E161" s="117" t="s">
        <v>262</v>
      </c>
      <c r="F161" s="117" t="s">
        <v>130</v>
      </c>
      <c r="G161" s="121">
        <v>0.433</v>
      </c>
      <c r="H161" s="121">
        <v>0.433</v>
      </c>
      <c r="I161" s="121">
        <f t="shared" si="30"/>
        <v>0.47630000000000006</v>
      </c>
      <c r="J161" s="121">
        <f t="shared" si="30"/>
        <v>0.47630000000000006</v>
      </c>
      <c r="K161" s="121">
        <f t="shared" si="31"/>
        <v>0.54125000000000001</v>
      </c>
      <c r="L161" s="121">
        <f t="shared" si="31"/>
        <v>0.54125000000000001</v>
      </c>
      <c r="M161" s="121">
        <f t="shared" si="32"/>
        <v>0.56290000000000007</v>
      </c>
      <c r="N161" s="121">
        <f t="shared" si="32"/>
        <v>0.56290000000000007</v>
      </c>
      <c r="O161" s="121">
        <f t="shared" si="33"/>
        <v>0.60619999999999996</v>
      </c>
      <c r="P161" s="121">
        <f t="shared" si="33"/>
        <v>0.60619999999999996</v>
      </c>
      <c r="Q161" s="121">
        <f t="shared" si="34"/>
        <v>0.64949999999999997</v>
      </c>
      <c r="R161" s="121">
        <f t="shared" si="34"/>
        <v>0.64949999999999997</v>
      </c>
      <c r="S161" s="118" t="s">
        <v>391</v>
      </c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spans="1:28" s="148" customFormat="1">
      <c r="A162" s="146">
        <v>118</v>
      </c>
      <c r="B162" s="146" t="s">
        <v>146</v>
      </c>
      <c r="C162" s="146" t="s">
        <v>146</v>
      </c>
      <c r="D162" s="146" t="s">
        <v>232</v>
      </c>
      <c r="E162" s="146" t="s">
        <v>232</v>
      </c>
      <c r="F162" s="146" t="s">
        <v>130</v>
      </c>
      <c r="G162" s="147">
        <v>0.36499999999999999</v>
      </c>
      <c r="H162" s="147">
        <v>0.36499999999999999</v>
      </c>
      <c r="I162" s="147">
        <f t="shared" si="30"/>
        <v>0.40150000000000002</v>
      </c>
      <c r="J162" s="147">
        <f t="shared" si="30"/>
        <v>0.40150000000000002</v>
      </c>
      <c r="K162" s="147">
        <f t="shared" si="31"/>
        <v>0.45624999999999999</v>
      </c>
      <c r="L162" s="147">
        <f t="shared" si="31"/>
        <v>0.45624999999999999</v>
      </c>
      <c r="M162" s="147">
        <f t="shared" si="32"/>
        <v>0.47449999999999998</v>
      </c>
      <c r="N162" s="147">
        <f t="shared" si="32"/>
        <v>0.47449999999999998</v>
      </c>
      <c r="O162" s="147">
        <f t="shared" si="33"/>
        <v>0.51100000000000001</v>
      </c>
      <c r="P162" s="147">
        <f t="shared" si="33"/>
        <v>0.51100000000000001</v>
      </c>
      <c r="Q162" s="147">
        <f t="shared" si="34"/>
        <v>0.54749999999999999</v>
      </c>
      <c r="R162" s="147">
        <f t="shared" si="34"/>
        <v>0.54749999999999999</v>
      </c>
      <c r="S162" s="167" t="s">
        <v>392</v>
      </c>
    </row>
    <row r="163" spans="1:28">
      <c r="A163" s="117">
        <v>119</v>
      </c>
      <c r="B163" s="117" t="s">
        <v>111</v>
      </c>
      <c r="C163" s="117" t="s">
        <v>111</v>
      </c>
      <c r="D163" s="117" t="s">
        <v>300</v>
      </c>
      <c r="E163" s="117" t="s">
        <v>300</v>
      </c>
      <c r="F163" s="117" t="s">
        <v>130</v>
      </c>
      <c r="G163" s="121">
        <v>0.3846</v>
      </c>
      <c r="H163" s="121">
        <v>0.3846</v>
      </c>
      <c r="I163" s="121">
        <f t="shared" si="30"/>
        <v>0.42306000000000005</v>
      </c>
      <c r="J163" s="121">
        <f t="shared" si="30"/>
        <v>0.42306000000000005</v>
      </c>
      <c r="K163" s="121">
        <f t="shared" si="31"/>
        <v>0.48075000000000001</v>
      </c>
      <c r="L163" s="121">
        <f t="shared" si="31"/>
        <v>0.48075000000000001</v>
      </c>
      <c r="M163" s="121">
        <f t="shared" si="32"/>
        <v>0.49998000000000004</v>
      </c>
      <c r="N163" s="121">
        <f t="shared" si="32"/>
        <v>0.49998000000000004</v>
      </c>
      <c r="O163" s="121">
        <f t="shared" si="33"/>
        <v>0.53843999999999992</v>
      </c>
      <c r="P163" s="121">
        <f t="shared" si="33"/>
        <v>0.53843999999999992</v>
      </c>
      <c r="Q163" s="121">
        <f t="shared" si="34"/>
        <v>0.57689999999999997</v>
      </c>
      <c r="R163" s="121">
        <f t="shared" si="34"/>
        <v>0.57689999999999997</v>
      </c>
      <c r="S163" s="118" t="s">
        <v>425</v>
      </c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spans="1:28">
      <c r="A164" s="117">
        <v>121</v>
      </c>
      <c r="B164" s="117" t="s">
        <v>119</v>
      </c>
      <c r="C164" s="117" t="s">
        <v>119</v>
      </c>
      <c r="D164" s="117" t="s">
        <v>241</v>
      </c>
      <c r="E164" s="117" t="s">
        <v>241</v>
      </c>
      <c r="F164" s="117" t="s">
        <v>130</v>
      </c>
      <c r="G164" s="121">
        <v>0.44500000000000001</v>
      </c>
      <c r="H164" s="121">
        <v>0.44500000000000001</v>
      </c>
      <c r="I164" s="121">
        <f t="shared" si="30"/>
        <v>0.48950000000000005</v>
      </c>
      <c r="J164" s="121">
        <f t="shared" si="30"/>
        <v>0.48950000000000005</v>
      </c>
      <c r="K164" s="121">
        <f t="shared" si="31"/>
        <v>0.55625000000000002</v>
      </c>
      <c r="L164" s="121">
        <f t="shared" si="31"/>
        <v>0.55625000000000002</v>
      </c>
      <c r="M164" s="121">
        <f t="shared" si="32"/>
        <v>0.57850000000000001</v>
      </c>
      <c r="N164" s="121">
        <f t="shared" si="32"/>
        <v>0.57850000000000001</v>
      </c>
      <c r="O164" s="121">
        <f t="shared" si="33"/>
        <v>0.623</v>
      </c>
      <c r="P164" s="121">
        <f t="shared" si="33"/>
        <v>0.623</v>
      </c>
      <c r="Q164" s="121">
        <f t="shared" si="34"/>
        <v>0.66749999999999998</v>
      </c>
      <c r="R164" s="121">
        <f t="shared" si="34"/>
        <v>0.66749999999999998</v>
      </c>
      <c r="S164" s="118" t="s">
        <v>393</v>
      </c>
      <c r="T164" s="108"/>
      <c r="U164" s="108"/>
      <c r="V164" s="108"/>
      <c r="W164" s="108"/>
      <c r="X164" s="108"/>
      <c r="Y164" s="108"/>
      <c r="Z164" s="108"/>
      <c r="AA164" s="108"/>
      <c r="AB164" s="108"/>
    </row>
    <row r="165" spans="1:28">
      <c r="A165" s="127" t="s">
        <v>306</v>
      </c>
      <c r="B165" s="117" t="s">
        <v>119</v>
      </c>
      <c r="C165" s="117" t="s">
        <v>179</v>
      </c>
      <c r="D165" s="117" t="s">
        <v>241</v>
      </c>
      <c r="E165" s="117" t="s">
        <v>108</v>
      </c>
      <c r="F165" s="117" t="s">
        <v>130</v>
      </c>
      <c r="G165" s="121">
        <v>0.44500000000000001</v>
      </c>
      <c r="H165" s="121">
        <v>0.4345</v>
      </c>
      <c r="I165" s="121">
        <f t="shared" si="30"/>
        <v>0.48950000000000005</v>
      </c>
      <c r="J165" s="121">
        <f t="shared" si="30"/>
        <v>0.47795000000000004</v>
      </c>
      <c r="K165" s="121">
        <f t="shared" si="31"/>
        <v>0.55625000000000002</v>
      </c>
      <c r="L165" s="121">
        <f t="shared" si="31"/>
        <v>0.54312499999999997</v>
      </c>
      <c r="M165" s="121">
        <f t="shared" si="32"/>
        <v>0.57850000000000001</v>
      </c>
      <c r="N165" s="121">
        <f t="shared" si="32"/>
        <v>0.56484999999999996</v>
      </c>
      <c r="O165" s="121">
        <f t="shared" si="33"/>
        <v>0.623</v>
      </c>
      <c r="P165" s="121">
        <f t="shared" si="33"/>
        <v>0.60829999999999995</v>
      </c>
      <c r="Q165" s="121">
        <f t="shared" si="34"/>
        <v>0.66749999999999998</v>
      </c>
      <c r="R165" s="121">
        <f t="shared" si="34"/>
        <v>0.65175000000000005</v>
      </c>
      <c r="S165" s="118" t="s">
        <v>307</v>
      </c>
      <c r="T165" s="108"/>
      <c r="U165" s="108"/>
      <c r="V165" s="108"/>
      <c r="W165" s="108"/>
      <c r="X165" s="108"/>
      <c r="Y165" s="108"/>
      <c r="Z165" s="108"/>
      <c r="AA165" s="108"/>
      <c r="AB165" s="108"/>
    </row>
    <row r="166" spans="1:28">
      <c r="A166" s="127" t="s">
        <v>308</v>
      </c>
      <c r="B166" s="117" t="s">
        <v>116</v>
      </c>
      <c r="C166" s="117" t="s">
        <v>179</v>
      </c>
      <c r="D166" s="117" t="s">
        <v>128</v>
      </c>
      <c r="E166" s="117" t="s">
        <v>108</v>
      </c>
      <c r="F166" s="117" t="s">
        <v>130</v>
      </c>
      <c r="G166" s="121">
        <v>0.46</v>
      </c>
      <c r="H166" s="121">
        <v>0.4345</v>
      </c>
      <c r="I166" s="121">
        <f t="shared" si="30"/>
        <v>0.50600000000000012</v>
      </c>
      <c r="J166" s="121">
        <f t="shared" si="30"/>
        <v>0.47795000000000004</v>
      </c>
      <c r="K166" s="121">
        <f t="shared" si="31"/>
        <v>0.57500000000000007</v>
      </c>
      <c r="L166" s="121">
        <f t="shared" si="31"/>
        <v>0.54312499999999997</v>
      </c>
      <c r="M166" s="121">
        <f t="shared" si="32"/>
        <v>0.59800000000000009</v>
      </c>
      <c r="N166" s="121">
        <f t="shared" si="32"/>
        <v>0.56484999999999996</v>
      </c>
      <c r="O166" s="121">
        <f t="shared" si="33"/>
        <v>0.64400000000000002</v>
      </c>
      <c r="P166" s="121">
        <f t="shared" si="33"/>
        <v>0.60829999999999995</v>
      </c>
      <c r="Q166" s="121">
        <f t="shared" si="34"/>
        <v>0.69000000000000006</v>
      </c>
      <c r="R166" s="121">
        <f t="shared" si="34"/>
        <v>0.65175000000000005</v>
      </c>
      <c r="S166" s="118" t="s">
        <v>309</v>
      </c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>
      <c r="A167" s="117">
        <v>125</v>
      </c>
      <c r="B167" s="117" t="s">
        <v>179</v>
      </c>
      <c r="C167" s="117" t="s">
        <v>179</v>
      </c>
      <c r="D167" s="117" t="s">
        <v>108</v>
      </c>
      <c r="E167" s="117" t="s">
        <v>108</v>
      </c>
      <c r="F167" s="117" t="s">
        <v>130</v>
      </c>
      <c r="G167" s="121">
        <v>0.435</v>
      </c>
      <c r="H167" s="121">
        <v>0.435</v>
      </c>
      <c r="I167" s="121">
        <f t="shared" si="30"/>
        <v>0.47850000000000004</v>
      </c>
      <c r="J167" s="121">
        <f t="shared" si="30"/>
        <v>0.47850000000000004</v>
      </c>
      <c r="K167" s="121">
        <f t="shared" si="31"/>
        <v>0.54374999999999996</v>
      </c>
      <c r="L167" s="121">
        <f t="shared" si="31"/>
        <v>0.54374999999999996</v>
      </c>
      <c r="M167" s="121">
        <f t="shared" si="32"/>
        <v>0.5655</v>
      </c>
      <c r="N167" s="121">
        <f t="shared" si="32"/>
        <v>0.5655</v>
      </c>
      <c r="O167" s="121">
        <f t="shared" si="33"/>
        <v>0.60899999999999999</v>
      </c>
      <c r="P167" s="121">
        <f t="shared" si="33"/>
        <v>0.60899999999999999</v>
      </c>
      <c r="Q167" s="121">
        <f t="shared" si="34"/>
        <v>0.65249999999999997</v>
      </c>
      <c r="R167" s="121">
        <f t="shared" si="34"/>
        <v>0.65249999999999997</v>
      </c>
      <c r="S167" s="118" t="s">
        <v>310</v>
      </c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>
      <c r="A168" s="117">
        <v>142</v>
      </c>
      <c r="B168" s="117" t="s">
        <v>211</v>
      </c>
      <c r="C168" s="117" t="s">
        <v>202</v>
      </c>
      <c r="D168" s="117" t="s">
        <v>181</v>
      </c>
      <c r="E168" s="117" t="s">
        <v>311</v>
      </c>
      <c r="F168" s="117" t="s">
        <v>130</v>
      </c>
      <c r="G168" s="121">
        <v>0.30230000000000001</v>
      </c>
      <c r="H168" s="121">
        <v>0.28310000000000002</v>
      </c>
      <c r="I168" s="121">
        <f t="shared" si="30"/>
        <v>0.33253000000000005</v>
      </c>
      <c r="J168" s="121">
        <f t="shared" si="30"/>
        <v>0.31141000000000002</v>
      </c>
      <c r="K168" s="121">
        <f t="shared" si="31"/>
        <v>0.37787500000000002</v>
      </c>
      <c r="L168" s="121">
        <f t="shared" si="31"/>
        <v>0.35387500000000005</v>
      </c>
      <c r="M168" s="121">
        <f t="shared" si="32"/>
        <v>0.39299000000000001</v>
      </c>
      <c r="N168" s="121">
        <f t="shared" si="32"/>
        <v>0.36803000000000002</v>
      </c>
      <c r="O168" s="121">
        <f t="shared" si="33"/>
        <v>0.42321999999999999</v>
      </c>
      <c r="P168" s="121">
        <f t="shared" si="33"/>
        <v>0.39634000000000003</v>
      </c>
      <c r="Q168" s="121">
        <f t="shared" si="34"/>
        <v>0.45345000000000002</v>
      </c>
      <c r="R168" s="121">
        <f t="shared" si="34"/>
        <v>0.42465000000000003</v>
      </c>
      <c r="S168" s="118" t="s">
        <v>383</v>
      </c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148" customFormat="1">
      <c r="A169" s="146">
        <v>163</v>
      </c>
      <c r="B169" s="146" t="s">
        <v>112</v>
      </c>
      <c r="C169" s="146" t="s">
        <v>112</v>
      </c>
      <c r="D169" s="146" t="s">
        <v>198</v>
      </c>
      <c r="E169" s="146" t="s">
        <v>198</v>
      </c>
      <c r="F169" s="146" t="s">
        <v>130</v>
      </c>
      <c r="G169" s="147">
        <v>0.3846</v>
      </c>
      <c r="H169" s="147">
        <v>0.3846</v>
      </c>
      <c r="I169" s="147">
        <f t="shared" si="30"/>
        <v>0.42306000000000005</v>
      </c>
      <c r="J169" s="147">
        <f t="shared" si="30"/>
        <v>0.42306000000000005</v>
      </c>
      <c r="K169" s="147">
        <f t="shared" si="31"/>
        <v>0.48075000000000001</v>
      </c>
      <c r="L169" s="147">
        <f t="shared" si="31"/>
        <v>0.48075000000000001</v>
      </c>
      <c r="M169" s="147">
        <f t="shared" si="32"/>
        <v>0.49998000000000004</v>
      </c>
      <c r="N169" s="147">
        <f t="shared" si="32"/>
        <v>0.49998000000000004</v>
      </c>
      <c r="O169" s="147">
        <f t="shared" si="33"/>
        <v>0.53843999999999992</v>
      </c>
      <c r="P169" s="147">
        <f t="shared" si="33"/>
        <v>0.53843999999999992</v>
      </c>
      <c r="Q169" s="147">
        <f t="shared" si="34"/>
        <v>0.57689999999999997</v>
      </c>
      <c r="R169" s="147">
        <f t="shared" si="34"/>
        <v>0.57689999999999997</v>
      </c>
      <c r="S169" s="167" t="s">
        <v>394</v>
      </c>
    </row>
    <row r="170" spans="1:28" s="148" customFormat="1">
      <c r="A170" s="146" t="s">
        <v>312</v>
      </c>
      <c r="B170" s="146" t="s">
        <v>112</v>
      </c>
      <c r="C170" s="146" t="s">
        <v>149</v>
      </c>
      <c r="D170" s="146" t="s">
        <v>144</v>
      </c>
      <c r="E170" s="146" t="s">
        <v>108</v>
      </c>
      <c r="F170" s="146" t="s">
        <v>130</v>
      </c>
      <c r="G170" s="147">
        <v>0.3846</v>
      </c>
      <c r="H170" s="147">
        <v>0.3846</v>
      </c>
      <c r="I170" s="147">
        <f t="shared" si="30"/>
        <v>0.42306000000000005</v>
      </c>
      <c r="J170" s="147">
        <f t="shared" si="30"/>
        <v>0.42306000000000005</v>
      </c>
      <c r="K170" s="147">
        <f t="shared" si="31"/>
        <v>0.48075000000000001</v>
      </c>
      <c r="L170" s="147">
        <f t="shared" si="31"/>
        <v>0.48075000000000001</v>
      </c>
      <c r="M170" s="147">
        <f t="shared" si="32"/>
        <v>0.49998000000000004</v>
      </c>
      <c r="N170" s="147">
        <f t="shared" si="32"/>
        <v>0.49998000000000004</v>
      </c>
      <c r="O170" s="147">
        <f t="shared" si="33"/>
        <v>0.53843999999999992</v>
      </c>
      <c r="P170" s="147">
        <f t="shared" si="33"/>
        <v>0.53843999999999992</v>
      </c>
      <c r="Q170" s="147">
        <f t="shared" si="34"/>
        <v>0.57689999999999997</v>
      </c>
      <c r="R170" s="147">
        <f t="shared" si="34"/>
        <v>0.57689999999999997</v>
      </c>
      <c r="S170" s="167" t="s">
        <v>395</v>
      </c>
    </row>
    <row r="171" spans="1:28">
      <c r="A171" s="117">
        <v>165</v>
      </c>
      <c r="B171" s="117" t="s">
        <v>124</v>
      </c>
      <c r="C171" s="117" t="s">
        <v>124</v>
      </c>
      <c r="D171" s="117" t="s">
        <v>138</v>
      </c>
      <c r="E171" s="117" t="s">
        <v>138</v>
      </c>
      <c r="F171" s="117" t="s">
        <v>130</v>
      </c>
      <c r="G171" s="121">
        <v>0.44700000000000001</v>
      </c>
      <c r="H171" s="121">
        <v>0.44700000000000001</v>
      </c>
      <c r="I171" s="121">
        <f t="shared" si="30"/>
        <v>0.49170000000000003</v>
      </c>
      <c r="J171" s="121">
        <f t="shared" si="30"/>
        <v>0.49170000000000003</v>
      </c>
      <c r="K171" s="121">
        <f t="shared" si="31"/>
        <v>0.55874999999999997</v>
      </c>
      <c r="L171" s="121">
        <f t="shared" si="31"/>
        <v>0.55874999999999997</v>
      </c>
      <c r="M171" s="121">
        <f t="shared" si="32"/>
        <v>0.58110000000000006</v>
      </c>
      <c r="N171" s="121">
        <f t="shared" si="32"/>
        <v>0.58110000000000006</v>
      </c>
      <c r="O171" s="121">
        <f t="shared" si="33"/>
        <v>0.62580000000000002</v>
      </c>
      <c r="P171" s="121">
        <f t="shared" si="33"/>
        <v>0.62580000000000002</v>
      </c>
      <c r="Q171" s="121">
        <f t="shared" si="34"/>
        <v>0.67049999999999998</v>
      </c>
      <c r="R171" s="121">
        <f t="shared" si="34"/>
        <v>0.67049999999999998</v>
      </c>
      <c r="S171" s="118" t="s">
        <v>313</v>
      </c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>
      <c r="A172" s="117">
        <v>197</v>
      </c>
      <c r="B172" s="117" t="s">
        <v>170</v>
      </c>
      <c r="C172" s="117" t="s">
        <v>170</v>
      </c>
      <c r="D172" s="117" t="s">
        <v>165</v>
      </c>
      <c r="E172" s="117" t="s">
        <v>165</v>
      </c>
      <c r="F172" s="117" t="s">
        <v>130</v>
      </c>
      <c r="G172" s="121">
        <v>0.43733</v>
      </c>
      <c r="H172" s="121">
        <v>0.43733</v>
      </c>
      <c r="I172" s="121">
        <f t="shared" si="30"/>
        <v>0.48106300000000002</v>
      </c>
      <c r="J172" s="121">
        <f t="shared" si="30"/>
        <v>0.48106300000000002</v>
      </c>
      <c r="K172" s="121">
        <f t="shared" si="31"/>
        <v>0.54666250000000005</v>
      </c>
      <c r="L172" s="121">
        <f t="shared" si="31"/>
        <v>0.54666250000000005</v>
      </c>
      <c r="M172" s="121">
        <f t="shared" si="32"/>
        <v>0.56852900000000006</v>
      </c>
      <c r="N172" s="121">
        <f t="shared" si="32"/>
        <v>0.56852900000000006</v>
      </c>
      <c r="O172" s="121">
        <f t="shared" si="33"/>
        <v>0.61226199999999997</v>
      </c>
      <c r="P172" s="121">
        <f t="shared" si="33"/>
        <v>0.61226199999999997</v>
      </c>
      <c r="Q172" s="121">
        <f t="shared" si="34"/>
        <v>0.65599499999999999</v>
      </c>
      <c r="R172" s="121">
        <f t="shared" si="34"/>
        <v>0.65599499999999999</v>
      </c>
      <c r="S172" s="118" t="s">
        <v>314</v>
      </c>
      <c r="T172" s="108"/>
      <c r="U172" s="108"/>
      <c r="V172" s="108"/>
      <c r="W172" s="108"/>
      <c r="X172" s="108"/>
      <c r="Y172" s="108"/>
      <c r="Z172" s="108"/>
      <c r="AA172" s="108"/>
      <c r="AB172" s="108"/>
    </row>
    <row r="173" spans="1:28" s="148" customFormat="1">
      <c r="A173" s="146">
        <v>218</v>
      </c>
      <c r="B173" s="146" t="s">
        <v>125</v>
      </c>
      <c r="C173" s="146" t="s">
        <v>125</v>
      </c>
      <c r="D173" s="146" t="s">
        <v>202</v>
      </c>
      <c r="E173" s="146" t="s">
        <v>202</v>
      </c>
      <c r="F173" s="146" t="s">
        <v>130</v>
      </c>
      <c r="G173" s="147">
        <v>0.41399999999999998</v>
      </c>
      <c r="H173" s="147">
        <v>0.41399999999999998</v>
      </c>
      <c r="I173" s="147">
        <f t="shared" si="30"/>
        <v>0.45540000000000003</v>
      </c>
      <c r="J173" s="147">
        <f t="shared" si="30"/>
        <v>0.45540000000000003</v>
      </c>
      <c r="K173" s="147">
        <f t="shared" si="31"/>
        <v>0.51749999999999996</v>
      </c>
      <c r="L173" s="147">
        <f t="shared" si="31"/>
        <v>0.51749999999999996</v>
      </c>
      <c r="M173" s="147">
        <f t="shared" si="32"/>
        <v>0.53820000000000001</v>
      </c>
      <c r="N173" s="147">
        <f t="shared" si="32"/>
        <v>0.53820000000000001</v>
      </c>
      <c r="O173" s="147">
        <f t="shared" si="33"/>
        <v>0.57959999999999989</v>
      </c>
      <c r="P173" s="147">
        <f t="shared" si="33"/>
        <v>0.57959999999999989</v>
      </c>
      <c r="Q173" s="147">
        <f t="shared" si="34"/>
        <v>0.621</v>
      </c>
      <c r="R173" s="147">
        <f t="shared" si="34"/>
        <v>0.621</v>
      </c>
      <c r="S173" s="167" t="s">
        <v>407</v>
      </c>
    </row>
    <row r="174" spans="1:28">
      <c r="A174" s="127" t="s">
        <v>315</v>
      </c>
      <c r="B174" s="117" t="s">
        <v>125</v>
      </c>
      <c r="C174" s="117" t="s">
        <v>111</v>
      </c>
      <c r="D174" s="117" t="s">
        <v>202</v>
      </c>
      <c r="E174" s="117" t="s">
        <v>300</v>
      </c>
      <c r="F174" s="117" t="s">
        <v>130</v>
      </c>
      <c r="G174" s="121">
        <v>0.41799999999999998</v>
      </c>
      <c r="H174" s="121">
        <v>0.3836</v>
      </c>
      <c r="I174" s="121">
        <f t="shared" si="30"/>
        <v>0.45980000000000004</v>
      </c>
      <c r="J174" s="121">
        <f t="shared" si="30"/>
        <v>0.42196000000000006</v>
      </c>
      <c r="K174" s="121">
        <f t="shared" si="31"/>
        <v>0.52249999999999996</v>
      </c>
      <c r="L174" s="121">
        <f t="shared" si="31"/>
        <v>0.47949999999999998</v>
      </c>
      <c r="M174" s="121">
        <f t="shared" si="32"/>
        <v>0.54339999999999999</v>
      </c>
      <c r="N174" s="121">
        <f t="shared" si="32"/>
        <v>0.49868000000000001</v>
      </c>
      <c r="O174" s="121">
        <f t="shared" si="33"/>
        <v>0.58519999999999994</v>
      </c>
      <c r="P174" s="121">
        <f t="shared" si="33"/>
        <v>0.53703999999999996</v>
      </c>
      <c r="Q174" s="121">
        <f t="shared" si="34"/>
        <v>0.627</v>
      </c>
      <c r="R174" s="121">
        <f t="shared" si="34"/>
        <v>0.57540000000000002</v>
      </c>
      <c r="S174" s="118" t="s">
        <v>408</v>
      </c>
      <c r="T174" s="108"/>
      <c r="U174" s="108"/>
      <c r="V174" s="108"/>
      <c r="W174" s="108"/>
      <c r="X174" s="108"/>
      <c r="Y174" s="108"/>
      <c r="Z174" s="108"/>
      <c r="AA174" s="108"/>
      <c r="AB174" s="108"/>
    </row>
    <row r="175" spans="1:28">
      <c r="A175" s="117">
        <v>226</v>
      </c>
      <c r="B175" s="117" t="s">
        <v>255</v>
      </c>
      <c r="C175" s="117" t="s">
        <v>255</v>
      </c>
      <c r="D175" s="117" t="s">
        <v>140</v>
      </c>
      <c r="E175" s="117" t="s">
        <v>140</v>
      </c>
      <c r="F175" s="117" t="s">
        <v>130</v>
      </c>
      <c r="G175" s="121">
        <v>0.40699999999999997</v>
      </c>
      <c r="H175" s="121">
        <v>0.40699999999999997</v>
      </c>
      <c r="I175" s="121">
        <f t="shared" si="30"/>
        <v>0.44769999999999999</v>
      </c>
      <c r="J175" s="121">
        <f t="shared" si="30"/>
        <v>0.44769999999999999</v>
      </c>
      <c r="K175" s="121">
        <f t="shared" si="31"/>
        <v>0.50874999999999992</v>
      </c>
      <c r="L175" s="121">
        <f t="shared" si="31"/>
        <v>0.50874999999999992</v>
      </c>
      <c r="M175" s="121">
        <f t="shared" si="32"/>
        <v>0.52910000000000001</v>
      </c>
      <c r="N175" s="121">
        <f t="shared" si="32"/>
        <v>0.52910000000000001</v>
      </c>
      <c r="O175" s="121">
        <f t="shared" si="33"/>
        <v>0.56979999999999997</v>
      </c>
      <c r="P175" s="121">
        <f t="shared" si="33"/>
        <v>0.56979999999999997</v>
      </c>
      <c r="Q175" s="121">
        <f t="shared" si="34"/>
        <v>0.61049999999999993</v>
      </c>
      <c r="R175" s="121">
        <f t="shared" si="34"/>
        <v>0.61049999999999993</v>
      </c>
      <c r="S175" s="118" t="s">
        <v>316</v>
      </c>
      <c r="T175" s="108"/>
      <c r="U175" s="108"/>
      <c r="V175" s="108"/>
      <c r="W175" s="108"/>
      <c r="X175" s="108"/>
      <c r="Y175" s="108"/>
      <c r="Z175" s="108"/>
      <c r="AA175" s="108"/>
      <c r="AB175" s="108"/>
    </row>
    <row r="176" spans="1:28">
      <c r="A176" s="117">
        <v>251</v>
      </c>
      <c r="B176" s="117" t="s">
        <v>317</v>
      </c>
      <c r="C176" s="117" t="s">
        <v>317</v>
      </c>
      <c r="D176" s="117" t="s">
        <v>318</v>
      </c>
      <c r="E176" s="117" t="s">
        <v>318</v>
      </c>
      <c r="F176" s="117" t="s">
        <v>130</v>
      </c>
      <c r="G176" s="121">
        <v>0.42</v>
      </c>
      <c r="H176" s="121">
        <v>0.42</v>
      </c>
      <c r="I176" s="121">
        <f t="shared" si="30"/>
        <v>0.46200000000000002</v>
      </c>
      <c r="J176" s="121">
        <f t="shared" si="30"/>
        <v>0.46200000000000002</v>
      </c>
      <c r="K176" s="121">
        <f t="shared" si="31"/>
        <v>0.52500000000000002</v>
      </c>
      <c r="L176" s="121">
        <f t="shared" si="31"/>
        <v>0.52500000000000002</v>
      </c>
      <c r="M176" s="121">
        <f t="shared" si="32"/>
        <v>0.54600000000000004</v>
      </c>
      <c r="N176" s="121">
        <f t="shared" si="32"/>
        <v>0.54600000000000004</v>
      </c>
      <c r="O176" s="121">
        <f t="shared" si="33"/>
        <v>0.58799999999999997</v>
      </c>
      <c r="P176" s="121">
        <f t="shared" si="33"/>
        <v>0.58799999999999997</v>
      </c>
      <c r="Q176" s="121">
        <f t="shared" si="34"/>
        <v>0.63</v>
      </c>
      <c r="R176" s="121">
        <f t="shared" si="34"/>
        <v>0.63</v>
      </c>
      <c r="S176" s="118" t="s">
        <v>319</v>
      </c>
      <c r="T176" s="108"/>
      <c r="U176" s="108"/>
      <c r="V176" s="108"/>
      <c r="W176" s="108"/>
      <c r="X176" s="108"/>
      <c r="Y176" s="108"/>
      <c r="Z176" s="108"/>
      <c r="AA176" s="108"/>
      <c r="AB176" s="108"/>
    </row>
    <row r="177" spans="1:28">
      <c r="A177" s="117">
        <v>277</v>
      </c>
      <c r="B177" s="117" t="s">
        <v>168</v>
      </c>
      <c r="C177" s="117" t="s">
        <v>168</v>
      </c>
      <c r="D177" s="117" t="s">
        <v>179</v>
      </c>
      <c r="E177" s="117" t="s">
        <v>179</v>
      </c>
      <c r="F177" s="117" t="s">
        <v>130</v>
      </c>
      <c r="G177" s="121">
        <v>0.44</v>
      </c>
      <c r="H177" s="121">
        <v>0.44</v>
      </c>
      <c r="I177" s="121">
        <f t="shared" si="30"/>
        <v>0.48400000000000004</v>
      </c>
      <c r="J177" s="121">
        <f t="shared" si="30"/>
        <v>0.48400000000000004</v>
      </c>
      <c r="K177" s="121">
        <f t="shared" si="31"/>
        <v>0.55000000000000004</v>
      </c>
      <c r="L177" s="121">
        <f t="shared" si="31"/>
        <v>0.55000000000000004</v>
      </c>
      <c r="M177" s="121">
        <f t="shared" si="32"/>
        <v>0.57200000000000006</v>
      </c>
      <c r="N177" s="121">
        <f t="shared" si="32"/>
        <v>0.57200000000000006</v>
      </c>
      <c r="O177" s="121">
        <f t="shared" si="33"/>
        <v>0.61599999999999999</v>
      </c>
      <c r="P177" s="121">
        <f t="shared" si="33"/>
        <v>0.61599999999999999</v>
      </c>
      <c r="Q177" s="121">
        <f t="shared" si="34"/>
        <v>0.66</v>
      </c>
      <c r="R177" s="121">
        <f t="shared" si="34"/>
        <v>0.66</v>
      </c>
      <c r="S177" s="118" t="s">
        <v>320</v>
      </c>
      <c r="T177" s="108"/>
      <c r="U177" s="108"/>
      <c r="V177" s="108"/>
      <c r="W177" s="108"/>
      <c r="X177" s="108"/>
      <c r="Y177" s="108"/>
      <c r="Z177" s="108"/>
      <c r="AA177" s="108"/>
      <c r="AB177" s="108"/>
    </row>
    <row r="178" spans="1:28">
      <c r="A178" s="117">
        <v>494</v>
      </c>
      <c r="B178" s="117" t="s">
        <v>125</v>
      </c>
      <c r="C178" s="117" t="s">
        <v>101</v>
      </c>
      <c r="D178" s="117" t="s">
        <v>125</v>
      </c>
      <c r="E178" s="117" t="s">
        <v>101</v>
      </c>
      <c r="F178" s="117" t="s">
        <v>130</v>
      </c>
      <c r="G178" s="121">
        <v>0.35759999999999997</v>
      </c>
      <c r="H178" s="121">
        <v>0.35759999999999997</v>
      </c>
      <c r="I178" s="121">
        <f t="shared" si="30"/>
        <v>0.39335999999999999</v>
      </c>
      <c r="J178" s="121">
        <f t="shared" si="30"/>
        <v>0.39335999999999999</v>
      </c>
      <c r="K178" s="121">
        <f t="shared" si="31"/>
        <v>0.44699999999999995</v>
      </c>
      <c r="L178" s="121">
        <f t="shared" si="31"/>
        <v>0.44699999999999995</v>
      </c>
      <c r="M178" s="121">
        <f t="shared" si="32"/>
        <v>0.46487999999999996</v>
      </c>
      <c r="N178" s="121">
        <f t="shared" si="32"/>
        <v>0.46487999999999996</v>
      </c>
      <c r="O178" s="121">
        <f t="shared" si="33"/>
        <v>0.50063999999999997</v>
      </c>
      <c r="P178" s="121">
        <f t="shared" si="33"/>
        <v>0.50063999999999997</v>
      </c>
      <c r="Q178" s="121">
        <f t="shared" si="34"/>
        <v>0.53639999999999999</v>
      </c>
      <c r="R178" s="121">
        <f t="shared" si="34"/>
        <v>0.53639999999999999</v>
      </c>
      <c r="S178" s="118" t="s">
        <v>384</v>
      </c>
      <c r="T178" s="108"/>
      <c r="U178" s="108"/>
      <c r="V178" s="108"/>
      <c r="W178" s="108"/>
      <c r="X178" s="108"/>
      <c r="Y178" s="108"/>
      <c r="Z178" s="108"/>
      <c r="AA178" s="108"/>
      <c r="AB178" s="108"/>
    </row>
    <row r="180" spans="1:28">
      <c r="I180" s="128"/>
      <c r="J180" s="129"/>
      <c r="K180" s="129"/>
      <c r="L180" s="130" t="s">
        <v>95</v>
      </c>
      <c r="M180" s="129"/>
      <c r="N180" s="129"/>
      <c r="O180" s="129"/>
      <c r="P180" s="129"/>
      <c r="Q180" s="129"/>
      <c r="R180" s="131"/>
      <c r="S180" s="122"/>
      <c r="T180" s="108"/>
      <c r="U180" s="108"/>
      <c r="V180" s="108"/>
      <c r="W180" s="108"/>
      <c r="X180" s="108"/>
      <c r="Y180" s="108"/>
      <c r="Z180" s="108"/>
      <c r="AA180" s="108"/>
      <c r="AB180" s="108"/>
    </row>
    <row r="181" spans="1:28">
      <c r="B181" s="136" t="s">
        <v>435</v>
      </c>
      <c r="C181" s="131"/>
      <c r="D181" s="130" t="s">
        <v>96</v>
      </c>
      <c r="E181" s="129"/>
      <c r="F181" s="143" t="s">
        <v>97</v>
      </c>
      <c r="G181" s="134" t="s">
        <v>98</v>
      </c>
      <c r="H181" s="131"/>
      <c r="I181" s="140">
        <f>$I$6</f>
        <v>1.1000000000000001</v>
      </c>
      <c r="J181" s="125"/>
      <c r="K181" s="124">
        <f>$K$6</f>
        <v>1.25</v>
      </c>
      <c r="L181" s="125"/>
      <c r="M181" s="124">
        <f>$M$6</f>
        <v>1.3</v>
      </c>
      <c r="N181" s="124"/>
      <c r="O181" s="124">
        <f>$O$6</f>
        <v>1.4</v>
      </c>
      <c r="P181" s="125"/>
      <c r="Q181" s="124">
        <f>$Q$6</f>
        <v>1.5</v>
      </c>
      <c r="R181" s="133"/>
      <c r="S181" s="122"/>
      <c r="T181" s="108"/>
      <c r="U181" s="108"/>
      <c r="V181" s="108"/>
      <c r="W181" s="108"/>
      <c r="X181" s="108"/>
      <c r="Y181" s="108"/>
      <c r="Z181" s="108"/>
      <c r="AA181" s="108"/>
      <c r="AB181" s="108"/>
    </row>
    <row r="182" spans="1:28">
      <c r="B182" s="141" t="s">
        <v>99</v>
      </c>
      <c r="C182" s="142" t="s">
        <v>38</v>
      </c>
      <c r="D182" s="141" t="s">
        <v>99</v>
      </c>
      <c r="E182" s="142" t="s">
        <v>38</v>
      </c>
      <c r="F182" s="137" t="s">
        <v>436</v>
      </c>
      <c r="G182" s="141" t="s">
        <v>99</v>
      </c>
      <c r="H182" s="142" t="s">
        <v>38</v>
      </c>
      <c r="I182" s="138" t="s">
        <v>99</v>
      </c>
      <c r="J182" s="139" t="s">
        <v>38</v>
      </c>
      <c r="K182" s="138" t="s">
        <v>99</v>
      </c>
      <c r="L182" s="139" t="s">
        <v>38</v>
      </c>
      <c r="M182" s="138" t="s">
        <v>99</v>
      </c>
      <c r="N182" s="139" t="s">
        <v>38</v>
      </c>
      <c r="O182" s="138" t="s">
        <v>99</v>
      </c>
      <c r="P182" s="139" t="s">
        <v>38</v>
      </c>
      <c r="Q182" s="138" t="s">
        <v>99</v>
      </c>
      <c r="R182" s="139" t="s">
        <v>38</v>
      </c>
      <c r="S182" s="115" t="s">
        <v>100</v>
      </c>
      <c r="T182" s="108"/>
      <c r="U182" s="108"/>
      <c r="V182" s="108"/>
      <c r="W182" s="108"/>
      <c r="X182" s="108"/>
      <c r="Y182" s="108"/>
      <c r="Z182" s="108"/>
      <c r="AA182" s="108"/>
      <c r="AB182" s="108"/>
    </row>
    <row r="183" spans="1:28">
      <c r="A183" s="117" t="s">
        <v>103</v>
      </c>
      <c r="B183" s="117" t="s">
        <v>33</v>
      </c>
      <c r="C183" s="117" t="s">
        <v>33</v>
      </c>
      <c r="D183" s="117" t="s">
        <v>33</v>
      </c>
      <c r="E183" s="117" t="s">
        <v>33</v>
      </c>
      <c r="F183" s="117" t="s">
        <v>33</v>
      </c>
      <c r="G183" s="119" t="s">
        <v>11</v>
      </c>
      <c r="H183" s="119" t="s">
        <v>11</v>
      </c>
      <c r="I183" s="119" t="s">
        <v>11</v>
      </c>
      <c r="J183" s="119" t="s">
        <v>11</v>
      </c>
      <c r="K183" s="119" t="s">
        <v>11</v>
      </c>
      <c r="L183" s="119" t="s">
        <v>11</v>
      </c>
      <c r="M183" s="119" t="s">
        <v>11</v>
      </c>
      <c r="N183" s="119" t="s">
        <v>11</v>
      </c>
      <c r="O183" s="119" t="s">
        <v>11</v>
      </c>
      <c r="P183" s="119" t="s">
        <v>11</v>
      </c>
      <c r="Q183" s="119" t="s">
        <v>11</v>
      </c>
      <c r="R183" s="119" t="s">
        <v>11</v>
      </c>
      <c r="T183" s="108"/>
      <c r="U183" s="108"/>
      <c r="V183" s="108"/>
      <c r="W183" s="108"/>
      <c r="X183" s="108"/>
      <c r="Y183" s="108"/>
      <c r="Z183" s="108"/>
      <c r="AA183" s="108"/>
      <c r="AB183" s="108"/>
    </row>
    <row r="184" spans="1:28">
      <c r="A184" s="119" t="s">
        <v>321</v>
      </c>
      <c r="T184" s="108"/>
      <c r="U184" s="108"/>
      <c r="V184" s="108"/>
      <c r="W184" s="108"/>
      <c r="X184" s="108"/>
      <c r="Y184" s="108"/>
      <c r="Z184" s="108"/>
      <c r="AA184" s="108"/>
      <c r="AB184" s="108"/>
    </row>
    <row r="185" spans="1:28">
      <c r="A185" s="117" t="s">
        <v>322</v>
      </c>
      <c r="B185" s="117" t="s">
        <v>111</v>
      </c>
      <c r="C185" s="117" t="s">
        <v>111</v>
      </c>
      <c r="D185" s="117" t="s">
        <v>202</v>
      </c>
      <c r="E185" s="117" t="s">
        <v>202</v>
      </c>
      <c r="F185" s="117" t="s">
        <v>130</v>
      </c>
      <c r="G185" s="121">
        <v>0.41799999999999998</v>
      </c>
      <c r="H185" s="121">
        <v>0.41799999999999998</v>
      </c>
      <c r="I185" s="121">
        <f t="shared" ref="I185:J208" si="35">$I$6*G185</f>
        <v>0.45980000000000004</v>
      </c>
      <c r="J185" s="121">
        <f t="shared" si="35"/>
        <v>0.45980000000000004</v>
      </c>
      <c r="K185" s="121">
        <f t="shared" ref="K185:L208" si="36">$K$6*G185</f>
        <v>0.52249999999999996</v>
      </c>
      <c r="L185" s="121">
        <f t="shared" si="36"/>
        <v>0.52249999999999996</v>
      </c>
      <c r="M185" s="121">
        <f t="shared" ref="M185:N208" si="37">$M$6*G185</f>
        <v>0.54339999999999999</v>
      </c>
      <c r="N185" s="121">
        <f t="shared" si="37"/>
        <v>0.54339999999999999</v>
      </c>
      <c r="O185" s="121">
        <f t="shared" ref="O185:P208" si="38">$O$6*G185</f>
        <v>0.58519999999999994</v>
      </c>
      <c r="P185" s="121">
        <f t="shared" si="38"/>
        <v>0.58519999999999994</v>
      </c>
      <c r="Q185" s="121">
        <f t="shared" ref="Q185:R208" si="39">$Q$6*G185</f>
        <v>0.627</v>
      </c>
      <c r="R185" s="121">
        <f t="shared" si="39"/>
        <v>0.627</v>
      </c>
      <c r="S185" s="118" t="s">
        <v>323</v>
      </c>
      <c r="T185" s="108"/>
      <c r="U185" s="108"/>
      <c r="V185" s="108"/>
      <c r="W185" s="108"/>
      <c r="X185" s="108"/>
      <c r="Y185" s="108"/>
      <c r="Z185" s="108"/>
      <c r="AA185" s="108"/>
      <c r="AB185" s="108"/>
    </row>
    <row r="186" spans="1:28">
      <c r="A186" s="117" t="s">
        <v>324</v>
      </c>
      <c r="B186" s="117" t="s">
        <v>111</v>
      </c>
      <c r="C186" s="117" t="s">
        <v>111</v>
      </c>
      <c r="D186" s="117" t="s">
        <v>133</v>
      </c>
      <c r="E186" s="117" t="s">
        <v>133</v>
      </c>
      <c r="F186" s="117" t="s">
        <v>130</v>
      </c>
      <c r="G186" s="121">
        <v>0.374</v>
      </c>
      <c r="H186" s="121">
        <v>0.374</v>
      </c>
      <c r="I186" s="121">
        <f t="shared" si="35"/>
        <v>0.41140000000000004</v>
      </c>
      <c r="J186" s="121">
        <f t="shared" si="35"/>
        <v>0.41140000000000004</v>
      </c>
      <c r="K186" s="121">
        <f t="shared" si="36"/>
        <v>0.46750000000000003</v>
      </c>
      <c r="L186" s="121">
        <f t="shared" si="36"/>
        <v>0.46750000000000003</v>
      </c>
      <c r="M186" s="121">
        <f t="shared" si="37"/>
        <v>0.48620000000000002</v>
      </c>
      <c r="N186" s="121">
        <f t="shared" si="37"/>
        <v>0.48620000000000002</v>
      </c>
      <c r="O186" s="121">
        <f t="shared" si="38"/>
        <v>0.52359999999999995</v>
      </c>
      <c r="P186" s="121">
        <f t="shared" si="38"/>
        <v>0.52359999999999995</v>
      </c>
      <c r="Q186" s="121">
        <f t="shared" si="39"/>
        <v>0.56099999999999994</v>
      </c>
      <c r="R186" s="121">
        <f t="shared" si="39"/>
        <v>0.56099999999999994</v>
      </c>
      <c r="S186" s="118" t="s">
        <v>325</v>
      </c>
      <c r="T186" s="108"/>
      <c r="U186" s="108"/>
      <c r="V186" s="108"/>
      <c r="W186" s="108"/>
      <c r="X186" s="108"/>
      <c r="Y186" s="108"/>
      <c r="Z186" s="108"/>
      <c r="AA186" s="108"/>
      <c r="AB186" s="108"/>
    </row>
    <row r="187" spans="1:28">
      <c r="A187" s="117" t="s">
        <v>326</v>
      </c>
      <c r="B187" s="117" t="s">
        <v>175</v>
      </c>
      <c r="C187" s="117" t="s">
        <v>175</v>
      </c>
      <c r="D187" s="117" t="s">
        <v>144</v>
      </c>
      <c r="E187" s="117" t="s">
        <v>144</v>
      </c>
      <c r="F187" s="117" t="s">
        <v>130</v>
      </c>
      <c r="G187" s="121">
        <v>0.433</v>
      </c>
      <c r="H187" s="121">
        <v>0.433</v>
      </c>
      <c r="I187" s="121">
        <f t="shared" si="35"/>
        <v>0.47630000000000006</v>
      </c>
      <c r="J187" s="121">
        <f t="shared" si="35"/>
        <v>0.47630000000000006</v>
      </c>
      <c r="K187" s="121">
        <f t="shared" si="36"/>
        <v>0.54125000000000001</v>
      </c>
      <c r="L187" s="121">
        <f t="shared" si="36"/>
        <v>0.54125000000000001</v>
      </c>
      <c r="M187" s="121">
        <f t="shared" si="37"/>
        <v>0.56290000000000007</v>
      </c>
      <c r="N187" s="121">
        <f t="shared" si="37"/>
        <v>0.56290000000000007</v>
      </c>
      <c r="O187" s="121">
        <f t="shared" si="38"/>
        <v>0.60619999999999996</v>
      </c>
      <c r="P187" s="121">
        <f t="shared" si="38"/>
        <v>0.60619999999999996</v>
      </c>
      <c r="Q187" s="121">
        <f t="shared" si="39"/>
        <v>0.64949999999999997</v>
      </c>
      <c r="R187" s="121">
        <f t="shared" si="39"/>
        <v>0.64949999999999997</v>
      </c>
      <c r="S187" s="118" t="s">
        <v>327</v>
      </c>
      <c r="T187" s="108"/>
      <c r="U187" s="108"/>
      <c r="V187" s="108"/>
      <c r="W187" s="108"/>
      <c r="X187" s="108"/>
      <c r="Y187" s="108"/>
      <c r="Z187" s="108"/>
      <c r="AA187" s="108"/>
      <c r="AB187" s="108"/>
    </row>
    <row r="188" spans="1:28" s="148" customFormat="1">
      <c r="A188" s="146" t="s">
        <v>328</v>
      </c>
      <c r="B188" s="146" t="s">
        <v>112</v>
      </c>
      <c r="C188" s="146" t="s">
        <v>112</v>
      </c>
      <c r="D188" s="146" t="s">
        <v>211</v>
      </c>
      <c r="E188" s="146" t="s">
        <v>211</v>
      </c>
      <c r="F188" s="146" t="s">
        <v>130</v>
      </c>
      <c r="G188" s="147">
        <v>0.38500000000000001</v>
      </c>
      <c r="H188" s="147">
        <v>0.38500000000000001</v>
      </c>
      <c r="I188" s="147">
        <f t="shared" si="35"/>
        <v>0.42350000000000004</v>
      </c>
      <c r="J188" s="147">
        <f t="shared" si="35"/>
        <v>0.42350000000000004</v>
      </c>
      <c r="K188" s="147">
        <f t="shared" si="36"/>
        <v>0.48125000000000001</v>
      </c>
      <c r="L188" s="147">
        <f t="shared" si="36"/>
        <v>0.48125000000000001</v>
      </c>
      <c r="M188" s="147">
        <f t="shared" si="37"/>
        <v>0.50050000000000006</v>
      </c>
      <c r="N188" s="147">
        <f t="shared" si="37"/>
        <v>0.50050000000000006</v>
      </c>
      <c r="O188" s="147">
        <f t="shared" si="38"/>
        <v>0.53899999999999992</v>
      </c>
      <c r="P188" s="147">
        <f t="shared" si="38"/>
        <v>0.53899999999999992</v>
      </c>
      <c r="Q188" s="147">
        <f t="shared" si="39"/>
        <v>0.57750000000000001</v>
      </c>
      <c r="R188" s="147">
        <f t="shared" si="39"/>
        <v>0.57750000000000001</v>
      </c>
      <c r="S188" s="167" t="s">
        <v>329</v>
      </c>
    </row>
    <row r="189" spans="1:28">
      <c r="A189" s="117" t="s">
        <v>330</v>
      </c>
      <c r="B189" s="117" t="s">
        <v>179</v>
      </c>
      <c r="C189" s="117" t="s">
        <v>179</v>
      </c>
      <c r="D189" s="117" t="s">
        <v>147</v>
      </c>
      <c r="E189" s="117" t="s">
        <v>147</v>
      </c>
      <c r="F189" s="117" t="s">
        <v>130</v>
      </c>
      <c r="G189" s="121">
        <v>0.42499999999999999</v>
      </c>
      <c r="H189" s="121">
        <v>0.42499999999999999</v>
      </c>
      <c r="I189" s="121">
        <f t="shared" si="35"/>
        <v>0.46750000000000003</v>
      </c>
      <c r="J189" s="121">
        <f t="shared" si="35"/>
        <v>0.46750000000000003</v>
      </c>
      <c r="K189" s="121">
        <f t="shared" si="36"/>
        <v>0.53125</v>
      </c>
      <c r="L189" s="121">
        <f t="shared" si="36"/>
        <v>0.53125</v>
      </c>
      <c r="M189" s="121">
        <f t="shared" si="37"/>
        <v>0.55249999999999999</v>
      </c>
      <c r="N189" s="121">
        <f t="shared" si="37"/>
        <v>0.55249999999999999</v>
      </c>
      <c r="O189" s="121">
        <f t="shared" si="38"/>
        <v>0.59499999999999997</v>
      </c>
      <c r="P189" s="121">
        <f t="shared" si="38"/>
        <v>0.59499999999999997</v>
      </c>
      <c r="Q189" s="121">
        <f t="shared" si="39"/>
        <v>0.63749999999999996</v>
      </c>
      <c r="R189" s="121">
        <f t="shared" si="39"/>
        <v>0.63749999999999996</v>
      </c>
      <c r="S189" s="118" t="s">
        <v>331</v>
      </c>
      <c r="T189" s="108"/>
      <c r="U189" s="108"/>
      <c r="V189" s="108"/>
      <c r="W189" s="108"/>
      <c r="X189" s="108"/>
      <c r="Y189" s="108"/>
      <c r="Z189" s="108"/>
      <c r="AA189" s="108"/>
      <c r="AB189" s="108"/>
    </row>
    <row r="190" spans="1:28">
      <c r="A190" s="117" t="s">
        <v>332</v>
      </c>
      <c r="B190" s="117" t="s">
        <v>213</v>
      </c>
      <c r="C190" s="117" t="s">
        <v>213</v>
      </c>
      <c r="D190" s="117" t="s">
        <v>214</v>
      </c>
      <c r="E190" s="117" t="s">
        <v>214</v>
      </c>
      <c r="F190" s="117" t="s">
        <v>130</v>
      </c>
      <c r="G190" s="121">
        <v>0.39</v>
      </c>
      <c r="H190" s="121">
        <v>0.39</v>
      </c>
      <c r="I190" s="121">
        <f t="shared" si="35"/>
        <v>0.42900000000000005</v>
      </c>
      <c r="J190" s="121">
        <f t="shared" si="35"/>
        <v>0.42900000000000005</v>
      </c>
      <c r="K190" s="121">
        <f t="shared" si="36"/>
        <v>0.48750000000000004</v>
      </c>
      <c r="L190" s="121">
        <f t="shared" si="36"/>
        <v>0.48750000000000004</v>
      </c>
      <c r="M190" s="121">
        <f t="shared" si="37"/>
        <v>0.50700000000000001</v>
      </c>
      <c r="N190" s="121">
        <f t="shared" si="37"/>
        <v>0.50700000000000001</v>
      </c>
      <c r="O190" s="121">
        <f t="shared" si="38"/>
        <v>0.54599999999999993</v>
      </c>
      <c r="P190" s="121">
        <f t="shared" si="38"/>
        <v>0.54599999999999993</v>
      </c>
      <c r="Q190" s="121">
        <f t="shared" si="39"/>
        <v>0.58499999999999996</v>
      </c>
      <c r="R190" s="121">
        <f t="shared" si="39"/>
        <v>0.58499999999999996</v>
      </c>
      <c r="S190" s="118" t="s">
        <v>333</v>
      </c>
      <c r="T190" s="108"/>
      <c r="U190" s="108"/>
      <c r="V190" s="108"/>
      <c r="W190" s="108"/>
      <c r="X190" s="108"/>
      <c r="Y190" s="108"/>
      <c r="Z190" s="108"/>
      <c r="AA190" s="108"/>
      <c r="AB190" s="108"/>
    </row>
    <row r="191" spans="1:28">
      <c r="A191" s="117" t="s">
        <v>334</v>
      </c>
      <c r="B191" s="117" t="s">
        <v>169</v>
      </c>
      <c r="C191" s="117" t="s">
        <v>169</v>
      </c>
      <c r="D191" s="117" t="s">
        <v>128</v>
      </c>
      <c r="E191" s="117" t="s">
        <v>128</v>
      </c>
      <c r="F191" s="117" t="s">
        <v>130</v>
      </c>
      <c r="G191" s="121">
        <v>0.45</v>
      </c>
      <c r="H191" s="121">
        <v>0.45</v>
      </c>
      <c r="I191" s="121">
        <f t="shared" si="35"/>
        <v>0.49500000000000005</v>
      </c>
      <c r="J191" s="121">
        <f t="shared" si="35"/>
        <v>0.49500000000000005</v>
      </c>
      <c r="K191" s="121">
        <f t="shared" si="36"/>
        <v>0.5625</v>
      </c>
      <c r="L191" s="121">
        <f t="shared" si="36"/>
        <v>0.5625</v>
      </c>
      <c r="M191" s="121">
        <f t="shared" si="37"/>
        <v>0.58500000000000008</v>
      </c>
      <c r="N191" s="121">
        <f t="shared" si="37"/>
        <v>0.58500000000000008</v>
      </c>
      <c r="O191" s="121">
        <f t="shared" si="38"/>
        <v>0.63</v>
      </c>
      <c r="P191" s="121">
        <f t="shared" si="38"/>
        <v>0.63</v>
      </c>
      <c r="Q191" s="121">
        <f t="shared" si="39"/>
        <v>0.67500000000000004</v>
      </c>
      <c r="R191" s="121">
        <f t="shared" si="39"/>
        <v>0.67500000000000004</v>
      </c>
      <c r="S191" s="118" t="s">
        <v>335</v>
      </c>
      <c r="T191" s="108"/>
      <c r="U191" s="108"/>
      <c r="V191" s="108"/>
      <c r="W191" s="108"/>
      <c r="X191" s="108"/>
      <c r="Y191" s="108"/>
      <c r="Z191" s="108"/>
      <c r="AA191" s="108"/>
      <c r="AB191" s="108"/>
    </row>
    <row r="192" spans="1:28">
      <c r="A192" s="117" t="s">
        <v>336</v>
      </c>
      <c r="B192" s="117" t="s">
        <v>149</v>
      </c>
      <c r="C192" s="117" t="s">
        <v>149</v>
      </c>
      <c r="D192" s="117" t="s">
        <v>128</v>
      </c>
      <c r="E192" s="117" t="s">
        <v>128</v>
      </c>
      <c r="F192" s="117" t="s">
        <v>130</v>
      </c>
      <c r="G192" s="121">
        <v>0.40500000000000003</v>
      </c>
      <c r="H192" s="121">
        <v>0.40500000000000003</v>
      </c>
      <c r="I192" s="121">
        <f t="shared" si="35"/>
        <v>0.44550000000000006</v>
      </c>
      <c r="J192" s="121">
        <f t="shared" si="35"/>
        <v>0.44550000000000006</v>
      </c>
      <c r="K192" s="121">
        <f t="shared" si="36"/>
        <v>0.50625000000000009</v>
      </c>
      <c r="L192" s="121">
        <f t="shared" si="36"/>
        <v>0.50625000000000009</v>
      </c>
      <c r="M192" s="121">
        <f t="shared" si="37"/>
        <v>0.52650000000000008</v>
      </c>
      <c r="N192" s="121">
        <f t="shared" si="37"/>
        <v>0.52650000000000008</v>
      </c>
      <c r="O192" s="121">
        <f t="shared" si="38"/>
        <v>0.56699999999999995</v>
      </c>
      <c r="P192" s="121">
        <f t="shared" si="38"/>
        <v>0.56699999999999995</v>
      </c>
      <c r="Q192" s="121">
        <f t="shared" si="39"/>
        <v>0.60750000000000004</v>
      </c>
      <c r="R192" s="121">
        <f t="shared" si="39"/>
        <v>0.60750000000000004</v>
      </c>
      <c r="S192" s="118" t="s">
        <v>337</v>
      </c>
      <c r="T192" s="108"/>
      <c r="U192" s="108"/>
      <c r="V192" s="108"/>
      <c r="W192" s="108"/>
      <c r="X192" s="108"/>
      <c r="Y192" s="108"/>
      <c r="Z192" s="108"/>
      <c r="AA192" s="108"/>
      <c r="AB192" s="108"/>
    </row>
    <row r="193" spans="1:28">
      <c r="A193" s="117" t="s">
        <v>338</v>
      </c>
      <c r="B193" s="117" t="s">
        <v>167</v>
      </c>
      <c r="C193" s="117" t="s">
        <v>167</v>
      </c>
      <c r="D193" s="117" t="s">
        <v>217</v>
      </c>
      <c r="E193" s="117" t="s">
        <v>217</v>
      </c>
      <c r="F193" s="117" t="s">
        <v>130</v>
      </c>
      <c r="G193" s="121">
        <v>0.40500000000000003</v>
      </c>
      <c r="H193" s="121">
        <v>0.40500000000000003</v>
      </c>
      <c r="I193" s="121">
        <f t="shared" si="35"/>
        <v>0.44550000000000006</v>
      </c>
      <c r="J193" s="121">
        <f t="shared" si="35"/>
        <v>0.44550000000000006</v>
      </c>
      <c r="K193" s="121">
        <f t="shared" si="36"/>
        <v>0.50625000000000009</v>
      </c>
      <c r="L193" s="121">
        <f t="shared" si="36"/>
        <v>0.50625000000000009</v>
      </c>
      <c r="M193" s="121">
        <f t="shared" si="37"/>
        <v>0.52650000000000008</v>
      </c>
      <c r="N193" s="121">
        <f t="shared" si="37"/>
        <v>0.52650000000000008</v>
      </c>
      <c r="O193" s="121">
        <f t="shared" si="38"/>
        <v>0.56699999999999995</v>
      </c>
      <c r="P193" s="121">
        <f t="shared" si="38"/>
        <v>0.56699999999999995</v>
      </c>
      <c r="Q193" s="121">
        <f t="shared" si="39"/>
        <v>0.60750000000000004</v>
      </c>
      <c r="R193" s="121">
        <f t="shared" si="39"/>
        <v>0.60750000000000004</v>
      </c>
      <c r="S193" s="118" t="s">
        <v>339</v>
      </c>
      <c r="T193" s="108"/>
      <c r="U193" s="108"/>
      <c r="V193" s="108"/>
      <c r="W193" s="108"/>
      <c r="X193" s="108"/>
      <c r="Y193" s="108"/>
      <c r="Z193" s="108"/>
      <c r="AA193" s="108"/>
      <c r="AB193" s="108"/>
    </row>
    <row r="194" spans="1:28">
      <c r="A194" s="117" t="s">
        <v>340</v>
      </c>
      <c r="B194" s="117" t="s">
        <v>207</v>
      </c>
      <c r="C194" s="117" t="s">
        <v>207</v>
      </c>
      <c r="D194" s="117" t="s">
        <v>140</v>
      </c>
      <c r="E194" s="117" t="s">
        <v>140</v>
      </c>
      <c r="F194" s="117" t="s">
        <v>130</v>
      </c>
      <c r="G194" s="121">
        <v>0.44500000000000001</v>
      </c>
      <c r="H194" s="121">
        <v>0.44500000000000001</v>
      </c>
      <c r="I194" s="121">
        <f t="shared" si="35"/>
        <v>0.48950000000000005</v>
      </c>
      <c r="J194" s="121">
        <f t="shared" si="35"/>
        <v>0.48950000000000005</v>
      </c>
      <c r="K194" s="121">
        <f t="shared" si="36"/>
        <v>0.55625000000000002</v>
      </c>
      <c r="L194" s="121">
        <f t="shared" si="36"/>
        <v>0.55625000000000002</v>
      </c>
      <c r="M194" s="121">
        <f t="shared" si="37"/>
        <v>0.57850000000000001</v>
      </c>
      <c r="N194" s="121">
        <f t="shared" si="37"/>
        <v>0.57850000000000001</v>
      </c>
      <c r="O194" s="121">
        <f t="shared" si="38"/>
        <v>0.623</v>
      </c>
      <c r="P194" s="121">
        <f t="shared" si="38"/>
        <v>0.623</v>
      </c>
      <c r="Q194" s="121">
        <f t="shared" si="39"/>
        <v>0.66749999999999998</v>
      </c>
      <c r="R194" s="121">
        <f t="shared" si="39"/>
        <v>0.66749999999999998</v>
      </c>
      <c r="S194" s="118" t="s">
        <v>341</v>
      </c>
      <c r="T194" s="108"/>
      <c r="U194" s="108"/>
      <c r="V194" s="108"/>
      <c r="W194" s="108"/>
      <c r="X194" s="108"/>
      <c r="Y194" s="108"/>
      <c r="Z194" s="108"/>
      <c r="AA194" s="108"/>
      <c r="AB194" s="108"/>
    </row>
    <row r="195" spans="1:28">
      <c r="A195" s="117" t="s">
        <v>342</v>
      </c>
      <c r="B195" s="117" t="s">
        <v>219</v>
      </c>
      <c r="C195" s="117" t="s">
        <v>219</v>
      </c>
      <c r="D195" s="117" t="s">
        <v>134</v>
      </c>
      <c r="E195" s="117" t="s">
        <v>134</v>
      </c>
      <c r="F195" s="117" t="s">
        <v>130</v>
      </c>
      <c r="G195" s="121">
        <v>0.42399999999999999</v>
      </c>
      <c r="H195" s="121">
        <v>0.42399999999999999</v>
      </c>
      <c r="I195" s="121">
        <f t="shared" si="35"/>
        <v>0.46640000000000004</v>
      </c>
      <c r="J195" s="121">
        <f t="shared" si="35"/>
        <v>0.46640000000000004</v>
      </c>
      <c r="K195" s="121">
        <f t="shared" si="36"/>
        <v>0.53</v>
      </c>
      <c r="L195" s="121">
        <f t="shared" si="36"/>
        <v>0.53</v>
      </c>
      <c r="M195" s="121">
        <f t="shared" si="37"/>
        <v>0.55120000000000002</v>
      </c>
      <c r="N195" s="121">
        <f t="shared" si="37"/>
        <v>0.55120000000000002</v>
      </c>
      <c r="O195" s="121">
        <f t="shared" si="38"/>
        <v>0.59359999999999991</v>
      </c>
      <c r="P195" s="121">
        <f t="shared" si="38"/>
        <v>0.59359999999999991</v>
      </c>
      <c r="Q195" s="121">
        <f t="shared" si="39"/>
        <v>0.63600000000000001</v>
      </c>
      <c r="R195" s="121">
        <f t="shared" si="39"/>
        <v>0.63600000000000001</v>
      </c>
      <c r="S195" s="118" t="s">
        <v>343</v>
      </c>
      <c r="T195" s="108"/>
      <c r="U195" s="108"/>
      <c r="V195" s="108"/>
      <c r="W195" s="108"/>
      <c r="X195" s="108"/>
      <c r="Y195" s="108"/>
      <c r="Z195" s="108"/>
      <c r="AA195" s="108"/>
      <c r="AB195" s="108"/>
    </row>
    <row r="196" spans="1:28">
      <c r="A196" s="117" t="s">
        <v>344</v>
      </c>
      <c r="B196" s="117" t="s">
        <v>140</v>
      </c>
      <c r="C196" s="117" t="s">
        <v>140</v>
      </c>
      <c r="D196" s="117" t="s">
        <v>345</v>
      </c>
      <c r="E196" s="117" t="s">
        <v>345</v>
      </c>
      <c r="F196" s="117" t="s">
        <v>130</v>
      </c>
      <c r="G196" s="121">
        <v>0.34100000000000003</v>
      </c>
      <c r="H196" s="121">
        <v>0.34100000000000003</v>
      </c>
      <c r="I196" s="121">
        <f t="shared" si="35"/>
        <v>0.37510000000000004</v>
      </c>
      <c r="J196" s="121">
        <f t="shared" si="35"/>
        <v>0.37510000000000004</v>
      </c>
      <c r="K196" s="121">
        <f t="shared" si="36"/>
        <v>0.42625000000000002</v>
      </c>
      <c r="L196" s="121">
        <f t="shared" si="36"/>
        <v>0.42625000000000002</v>
      </c>
      <c r="M196" s="121">
        <f t="shared" si="37"/>
        <v>0.44330000000000003</v>
      </c>
      <c r="N196" s="121">
        <f t="shared" si="37"/>
        <v>0.44330000000000003</v>
      </c>
      <c r="O196" s="121">
        <f t="shared" si="38"/>
        <v>0.47739999999999999</v>
      </c>
      <c r="P196" s="121">
        <f t="shared" si="38"/>
        <v>0.47739999999999999</v>
      </c>
      <c r="Q196" s="121">
        <f t="shared" si="39"/>
        <v>0.51150000000000007</v>
      </c>
      <c r="R196" s="121">
        <f t="shared" si="39"/>
        <v>0.51150000000000007</v>
      </c>
      <c r="S196" s="118" t="s">
        <v>346</v>
      </c>
      <c r="T196" s="108"/>
      <c r="U196" s="108"/>
      <c r="V196" s="108"/>
      <c r="W196" s="108"/>
      <c r="X196" s="108"/>
      <c r="Y196" s="108"/>
      <c r="Z196" s="108"/>
      <c r="AA196" s="108"/>
      <c r="AB196" s="108"/>
    </row>
    <row r="197" spans="1:28">
      <c r="A197" s="117" t="s">
        <v>347</v>
      </c>
      <c r="B197" s="117" t="s">
        <v>146</v>
      </c>
      <c r="C197" s="117" t="s">
        <v>146</v>
      </c>
      <c r="D197" s="117" t="s">
        <v>159</v>
      </c>
      <c r="E197" s="117" t="s">
        <v>159</v>
      </c>
      <c r="F197" s="117" t="s">
        <v>130</v>
      </c>
      <c r="G197" s="121">
        <v>0.35599999999999998</v>
      </c>
      <c r="H197" s="121">
        <v>0.35599999999999998</v>
      </c>
      <c r="I197" s="121">
        <f t="shared" si="35"/>
        <v>0.3916</v>
      </c>
      <c r="J197" s="121">
        <f t="shared" si="35"/>
        <v>0.3916</v>
      </c>
      <c r="K197" s="121">
        <f t="shared" si="36"/>
        <v>0.44499999999999995</v>
      </c>
      <c r="L197" s="121">
        <f t="shared" si="36"/>
        <v>0.44499999999999995</v>
      </c>
      <c r="M197" s="121">
        <f t="shared" si="37"/>
        <v>0.46279999999999999</v>
      </c>
      <c r="N197" s="121">
        <f t="shared" si="37"/>
        <v>0.46279999999999999</v>
      </c>
      <c r="O197" s="121">
        <f t="shared" si="38"/>
        <v>0.49839999999999995</v>
      </c>
      <c r="P197" s="121">
        <f t="shared" si="38"/>
        <v>0.49839999999999995</v>
      </c>
      <c r="Q197" s="121">
        <f t="shared" si="39"/>
        <v>0.53400000000000003</v>
      </c>
      <c r="R197" s="121">
        <f t="shared" si="39"/>
        <v>0.53400000000000003</v>
      </c>
      <c r="S197" s="118" t="s">
        <v>348</v>
      </c>
      <c r="T197" s="108"/>
      <c r="U197" s="108"/>
      <c r="V197" s="108"/>
      <c r="W197" s="108"/>
      <c r="X197" s="108"/>
      <c r="Y197" s="108"/>
      <c r="Z197" s="108"/>
      <c r="AA197" s="108"/>
      <c r="AB197" s="108"/>
    </row>
    <row r="198" spans="1:28">
      <c r="A198" s="117" t="s">
        <v>349</v>
      </c>
      <c r="B198" s="117" t="s">
        <v>350</v>
      </c>
      <c r="C198" s="117" t="s">
        <v>350</v>
      </c>
      <c r="D198" s="117" t="s">
        <v>152</v>
      </c>
      <c r="E198" s="117" t="s">
        <v>152</v>
      </c>
      <c r="F198" s="117" t="s">
        <v>130</v>
      </c>
      <c r="G198" s="121">
        <v>0.33500000000000002</v>
      </c>
      <c r="H198" s="121">
        <v>0.33500000000000002</v>
      </c>
      <c r="I198" s="121">
        <f t="shared" si="35"/>
        <v>0.36850000000000005</v>
      </c>
      <c r="J198" s="121">
        <f t="shared" si="35"/>
        <v>0.36850000000000005</v>
      </c>
      <c r="K198" s="121">
        <f t="shared" si="36"/>
        <v>0.41875000000000001</v>
      </c>
      <c r="L198" s="121">
        <f t="shared" si="36"/>
        <v>0.41875000000000001</v>
      </c>
      <c r="M198" s="121">
        <f t="shared" si="37"/>
        <v>0.43550000000000005</v>
      </c>
      <c r="N198" s="121">
        <f t="shared" si="37"/>
        <v>0.43550000000000005</v>
      </c>
      <c r="O198" s="121">
        <f t="shared" si="38"/>
        <v>0.46899999999999997</v>
      </c>
      <c r="P198" s="121">
        <f t="shared" si="38"/>
        <v>0.46899999999999997</v>
      </c>
      <c r="Q198" s="121">
        <f t="shared" si="39"/>
        <v>0.50250000000000006</v>
      </c>
      <c r="R198" s="121">
        <f t="shared" si="39"/>
        <v>0.50250000000000006</v>
      </c>
      <c r="S198" s="118" t="s">
        <v>351</v>
      </c>
      <c r="T198" s="108"/>
      <c r="U198" s="108"/>
      <c r="V198" s="108"/>
      <c r="W198" s="108"/>
      <c r="X198" s="108"/>
      <c r="Y198" s="108"/>
      <c r="Z198" s="108"/>
      <c r="AA198" s="108"/>
      <c r="AB198" s="108"/>
    </row>
    <row r="199" spans="1:28">
      <c r="A199" s="117" t="s">
        <v>352</v>
      </c>
      <c r="B199" s="117" t="s">
        <v>255</v>
      </c>
      <c r="C199" s="117" t="s">
        <v>255</v>
      </c>
      <c r="D199" s="117" t="s">
        <v>353</v>
      </c>
      <c r="E199" s="117" t="s">
        <v>353</v>
      </c>
      <c r="F199" s="117" t="s">
        <v>130</v>
      </c>
      <c r="G199" s="121">
        <v>0.38</v>
      </c>
      <c r="H199" s="121">
        <v>0.38</v>
      </c>
      <c r="I199" s="121">
        <f t="shared" si="35"/>
        <v>0.41800000000000004</v>
      </c>
      <c r="J199" s="121">
        <f t="shared" si="35"/>
        <v>0.41800000000000004</v>
      </c>
      <c r="K199" s="121">
        <f t="shared" si="36"/>
        <v>0.47499999999999998</v>
      </c>
      <c r="L199" s="121">
        <f t="shared" si="36"/>
        <v>0.47499999999999998</v>
      </c>
      <c r="M199" s="121">
        <f t="shared" si="37"/>
        <v>0.49400000000000005</v>
      </c>
      <c r="N199" s="121">
        <f t="shared" si="37"/>
        <v>0.49400000000000005</v>
      </c>
      <c r="O199" s="121">
        <f t="shared" si="38"/>
        <v>0.53199999999999992</v>
      </c>
      <c r="P199" s="121">
        <f t="shared" si="38"/>
        <v>0.53199999999999992</v>
      </c>
      <c r="Q199" s="121">
        <f t="shared" si="39"/>
        <v>0.57000000000000006</v>
      </c>
      <c r="R199" s="121">
        <f t="shared" si="39"/>
        <v>0.57000000000000006</v>
      </c>
      <c r="S199" s="118" t="s">
        <v>354</v>
      </c>
      <c r="T199" s="108"/>
      <c r="U199" s="108"/>
      <c r="V199" s="108"/>
      <c r="W199" s="108"/>
      <c r="X199" s="108"/>
      <c r="Y199" s="108"/>
      <c r="Z199" s="108"/>
      <c r="AA199" s="108"/>
      <c r="AB199" s="108"/>
    </row>
    <row r="200" spans="1:28">
      <c r="A200" s="117" t="s">
        <v>355</v>
      </c>
      <c r="B200" s="117" t="s">
        <v>121</v>
      </c>
      <c r="C200" s="117" t="s">
        <v>121</v>
      </c>
      <c r="D200" s="117" t="s">
        <v>40</v>
      </c>
      <c r="E200" s="117" t="s">
        <v>40</v>
      </c>
      <c r="F200" s="117" t="s">
        <v>130</v>
      </c>
      <c r="G200" s="121">
        <v>0.378</v>
      </c>
      <c r="H200" s="121">
        <v>0.378</v>
      </c>
      <c r="I200" s="121">
        <f t="shared" si="35"/>
        <v>0.41580000000000006</v>
      </c>
      <c r="J200" s="121">
        <f t="shared" si="35"/>
        <v>0.41580000000000006</v>
      </c>
      <c r="K200" s="121">
        <f t="shared" si="36"/>
        <v>0.47250000000000003</v>
      </c>
      <c r="L200" s="121">
        <f t="shared" si="36"/>
        <v>0.47250000000000003</v>
      </c>
      <c r="M200" s="121">
        <f t="shared" si="37"/>
        <v>0.4914</v>
      </c>
      <c r="N200" s="121">
        <f t="shared" si="37"/>
        <v>0.4914</v>
      </c>
      <c r="O200" s="121">
        <f t="shared" si="38"/>
        <v>0.5292</v>
      </c>
      <c r="P200" s="121">
        <f t="shared" si="38"/>
        <v>0.5292</v>
      </c>
      <c r="Q200" s="121">
        <f t="shared" si="39"/>
        <v>0.56699999999999995</v>
      </c>
      <c r="R200" s="121">
        <f t="shared" si="39"/>
        <v>0.56699999999999995</v>
      </c>
      <c r="S200" s="118" t="s">
        <v>356</v>
      </c>
      <c r="T200" s="108"/>
      <c r="U200" s="108"/>
      <c r="V200" s="108"/>
      <c r="W200" s="108"/>
      <c r="X200" s="108"/>
      <c r="Y200" s="108"/>
      <c r="Z200" s="108"/>
      <c r="AA200" s="108"/>
      <c r="AB200" s="108"/>
    </row>
    <row r="201" spans="1:28" ht="20">
      <c r="A201" s="117" t="s">
        <v>357</v>
      </c>
      <c r="B201" s="117" t="s">
        <v>168</v>
      </c>
      <c r="C201" s="117" t="s">
        <v>168</v>
      </c>
      <c r="D201" s="117" t="s">
        <v>111</v>
      </c>
      <c r="E201" s="117" t="s">
        <v>111</v>
      </c>
      <c r="F201" s="117" t="s">
        <v>130</v>
      </c>
      <c r="G201" s="121">
        <v>0.39</v>
      </c>
      <c r="H201" s="121">
        <v>0.39</v>
      </c>
      <c r="I201" s="121">
        <f t="shared" si="35"/>
        <v>0.42900000000000005</v>
      </c>
      <c r="J201" s="121">
        <f t="shared" si="35"/>
        <v>0.42900000000000005</v>
      </c>
      <c r="K201" s="121">
        <f t="shared" si="36"/>
        <v>0.48750000000000004</v>
      </c>
      <c r="L201" s="121">
        <f t="shared" si="36"/>
        <v>0.48750000000000004</v>
      </c>
      <c r="M201" s="121">
        <f t="shared" si="37"/>
        <v>0.50700000000000001</v>
      </c>
      <c r="N201" s="121">
        <f t="shared" si="37"/>
        <v>0.50700000000000001</v>
      </c>
      <c r="O201" s="121">
        <f t="shared" si="38"/>
        <v>0.54599999999999993</v>
      </c>
      <c r="P201" s="121">
        <f t="shared" si="38"/>
        <v>0.54599999999999993</v>
      </c>
      <c r="Q201" s="121">
        <f t="shared" si="39"/>
        <v>0.58499999999999996</v>
      </c>
      <c r="R201" s="121">
        <f t="shared" si="39"/>
        <v>0.58499999999999996</v>
      </c>
      <c r="S201" s="118" t="s">
        <v>409</v>
      </c>
      <c r="T201" s="108"/>
      <c r="U201" s="108"/>
      <c r="V201" s="108"/>
      <c r="W201" s="108"/>
      <c r="X201" s="108"/>
      <c r="Y201" s="108"/>
      <c r="Z201" s="108"/>
      <c r="AA201" s="108"/>
      <c r="AB201" s="108"/>
    </row>
    <row r="202" spans="1:28" ht="20">
      <c r="A202" s="117" t="s">
        <v>358</v>
      </c>
      <c r="B202" s="117" t="s">
        <v>359</v>
      </c>
      <c r="C202" s="117" t="s">
        <v>359</v>
      </c>
      <c r="D202" s="117" t="s">
        <v>145</v>
      </c>
      <c r="E202" s="117" t="s">
        <v>145</v>
      </c>
      <c r="F202" s="117" t="s">
        <v>130</v>
      </c>
      <c r="G202" s="121">
        <v>0.41099999999999998</v>
      </c>
      <c r="H202" s="121">
        <v>0.41099999999999998</v>
      </c>
      <c r="I202" s="121">
        <f t="shared" si="35"/>
        <v>0.4521</v>
      </c>
      <c r="J202" s="121">
        <f t="shared" si="35"/>
        <v>0.4521</v>
      </c>
      <c r="K202" s="121">
        <f t="shared" si="36"/>
        <v>0.51374999999999993</v>
      </c>
      <c r="L202" s="121">
        <f t="shared" si="36"/>
        <v>0.51374999999999993</v>
      </c>
      <c r="M202" s="121">
        <f t="shared" si="37"/>
        <v>0.5343</v>
      </c>
      <c r="N202" s="121">
        <f t="shared" si="37"/>
        <v>0.5343</v>
      </c>
      <c r="O202" s="121">
        <f t="shared" si="38"/>
        <v>0.57539999999999991</v>
      </c>
      <c r="P202" s="121">
        <f t="shared" si="38"/>
        <v>0.57539999999999991</v>
      </c>
      <c r="Q202" s="121">
        <f t="shared" si="39"/>
        <v>0.61649999999999994</v>
      </c>
      <c r="R202" s="121">
        <f t="shared" si="39"/>
        <v>0.61649999999999994</v>
      </c>
      <c r="S202" s="118" t="s">
        <v>410</v>
      </c>
      <c r="T202" s="108"/>
      <c r="U202" s="108"/>
      <c r="V202" s="108"/>
      <c r="W202" s="108"/>
      <c r="X202" s="108"/>
      <c r="Y202" s="108"/>
      <c r="Z202" s="108"/>
      <c r="AA202" s="108"/>
      <c r="AB202" s="108"/>
    </row>
    <row r="203" spans="1:28" ht="20">
      <c r="A203" s="117" t="s">
        <v>360</v>
      </c>
      <c r="B203" s="117" t="s">
        <v>170</v>
      </c>
      <c r="C203" s="117" t="s">
        <v>170</v>
      </c>
      <c r="D203" s="117" t="s">
        <v>145</v>
      </c>
      <c r="E203" s="117" t="s">
        <v>145</v>
      </c>
      <c r="F203" s="117" t="s">
        <v>130</v>
      </c>
      <c r="G203" s="121">
        <v>0.42899999999999999</v>
      </c>
      <c r="H203" s="121">
        <v>0.42899999999999999</v>
      </c>
      <c r="I203" s="121">
        <f t="shared" si="35"/>
        <v>0.47190000000000004</v>
      </c>
      <c r="J203" s="121">
        <f t="shared" si="35"/>
        <v>0.47190000000000004</v>
      </c>
      <c r="K203" s="121">
        <f t="shared" si="36"/>
        <v>0.53625</v>
      </c>
      <c r="L203" s="121">
        <f t="shared" si="36"/>
        <v>0.53625</v>
      </c>
      <c r="M203" s="121">
        <f t="shared" si="37"/>
        <v>0.55769999999999997</v>
      </c>
      <c r="N203" s="121">
        <f t="shared" si="37"/>
        <v>0.55769999999999997</v>
      </c>
      <c r="O203" s="121">
        <f t="shared" si="38"/>
        <v>0.60059999999999991</v>
      </c>
      <c r="P203" s="121">
        <f t="shared" si="38"/>
        <v>0.60059999999999991</v>
      </c>
      <c r="Q203" s="121">
        <f t="shared" si="39"/>
        <v>0.64349999999999996</v>
      </c>
      <c r="R203" s="121">
        <f t="shared" si="39"/>
        <v>0.64349999999999996</v>
      </c>
      <c r="S203" s="118" t="s">
        <v>411</v>
      </c>
      <c r="T203" s="108"/>
      <c r="U203" s="108"/>
      <c r="V203" s="108"/>
      <c r="W203" s="108"/>
      <c r="X203" s="108"/>
      <c r="Y203" s="108"/>
      <c r="Z203" s="108"/>
      <c r="AA203" s="108"/>
      <c r="AB203" s="108"/>
    </row>
    <row r="204" spans="1:28">
      <c r="A204" s="117" t="s">
        <v>361</v>
      </c>
      <c r="B204" s="117" t="s">
        <v>170</v>
      </c>
      <c r="C204" s="117" t="s">
        <v>170</v>
      </c>
      <c r="D204" s="117" t="s">
        <v>236</v>
      </c>
      <c r="E204" s="117" t="s">
        <v>236</v>
      </c>
      <c r="F204" s="117" t="s">
        <v>130</v>
      </c>
      <c r="G204" s="121">
        <v>0.436</v>
      </c>
      <c r="H204" s="121">
        <v>0.436</v>
      </c>
      <c r="I204" s="121">
        <f t="shared" si="35"/>
        <v>0.47960000000000003</v>
      </c>
      <c r="J204" s="121">
        <f t="shared" si="35"/>
        <v>0.47960000000000003</v>
      </c>
      <c r="K204" s="121">
        <f t="shared" si="36"/>
        <v>0.54500000000000004</v>
      </c>
      <c r="L204" s="121">
        <f t="shared" si="36"/>
        <v>0.54500000000000004</v>
      </c>
      <c r="M204" s="121">
        <f t="shared" si="37"/>
        <v>0.56679999999999997</v>
      </c>
      <c r="N204" s="121">
        <f t="shared" si="37"/>
        <v>0.56679999999999997</v>
      </c>
      <c r="O204" s="121">
        <f t="shared" si="38"/>
        <v>0.61039999999999994</v>
      </c>
      <c r="P204" s="121">
        <f t="shared" si="38"/>
        <v>0.61039999999999994</v>
      </c>
      <c r="Q204" s="121">
        <f t="shared" si="39"/>
        <v>0.65400000000000003</v>
      </c>
      <c r="R204" s="121">
        <f t="shared" si="39"/>
        <v>0.65400000000000003</v>
      </c>
      <c r="S204" s="118" t="s">
        <v>362</v>
      </c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28" ht="20">
      <c r="A205" s="117" t="s">
        <v>363</v>
      </c>
      <c r="B205" s="117" t="s">
        <v>178</v>
      </c>
      <c r="C205" s="117" t="s">
        <v>178</v>
      </c>
      <c r="D205" s="117" t="s">
        <v>364</v>
      </c>
      <c r="E205" s="117" t="s">
        <v>364</v>
      </c>
      <c r="F205" s="117" t="s">
        <v>130</v>
      </c>
      <c r="G205" s="121">
        <v>0.44</v>
      </c>
      <c r="H205" s="121">
        <v>0.44</v>
      </c>
      <c r="I205" s="121">
        <f t="shared" si="35"/>
        <v>0.48400000000000004</v>
      </c>
      <c r="J205" s="121">
        <f t="shared" si="35"/>
        <v>0.48400000000000004</v>
      </c>
      <c r="K205" s="121">
        <f t="shared" si="36"/>
        <v>0.55000000000000004</v>
      </c>
      <c r="L205" s="121">
        <f t="shared" si="36"/>
        <v>0.55000000000000004</v>
      </c>
      <c r="M205" s="121">
        <f t="shared" si="37"/>
        <v>0.57200000000000006</v>
      </c>
      <c r="N205" s="121">
        <f t="shared" si="37"/>
        <v>0.57200000000000006</v>
      </c>
      <c r="O205" s="121">
        <f t="shared" si="38"/>
        <v>0.61599999999999999</v>
      </c>
      <c r="P205" s="121">
        <f t="shared" si="38"/>
        <v>0.61599999999999999</v>
      </c>
      <c r="Q205" s="121">
        <f t="shared" si="39"/>
        <v>0.66</v>
      </c>
      <c r="R205" s="121">
        <f t="shared" si="39"/>
        <v>0.66</v>
      </c>
      <c r="S205" s="118" t="s">
        <v>412</v>
      </c>
      <c r="T205" s="108"/>
      <c r="U205" s="108"/>
      <c r="V205" s="108"/>
      <c r="W205" s="108"/>
      <c r="X205" s="108"/>
      <c r="Y205" s="108"/>
      <c r="Z205" s="108"/>
      <c r="AA205" s="108"/>
      <c r="AB205" s="108"/>
    </row>
    <row r="206" spans="1:28" ht="20">
      <c r="A206" s="117" t="s">
        <v>365</v>
      </c>
      <c r="B206" s="117" t="s">
        <v>254</v>
      </c>
      <c r="C206" s="117" t="s">
        <v>254</v>
      </c>
      <c r="D206" s="117" t="s">
        <v>213</v>
      </c>
      <c r="E206" s="117" t="s">
        <v>213</v>
      </c>
      <c r="F206" s="117" t="s">
        <v>130</v>
      </c>
      <c r="G206" s="121">
        <v>0.40699999999999997</v>
      </c>
      <c r="H206" s="121">
        <v>0.40699999999999997</v>
      </c>
      <c r="I206" s="121">
        <f t="shared" si="35"/>
        <v>0.44769999999999999</v>
      </c>
      <c r="J206" s="121">
        <f t="shared" si="35"/>
        <v>0.44769999999999999</v>
      </c>
      <c r="K206" s="121">
        <f t="shared" si="36"/>
        <v>0.50874999999999992</v>
      </c>
      <c r="L206" s="121">
        <f t="shared" si="36"/>
        <v>0.50874999999999992</v>
      </c>
      <c r="M206" s="121">
        <f t="shared" si="37"/>
        <v>0.52910000000000001</v>
      </c>
      <c r="N206" s="121">
        <f t="shared" si="37"/>
        <v>0.52910000000000001</v>
      </c>
      <c r="O206" s="121">
        <f t="shared" si="38"/>
        <v>0.56979999999999997</v>
      </c>
      <c r="P206" s="121">
        <f t="shared" si="38"/>
        <v>0.56979999999999997</v>
      </c>
      <c r="Q206" s="121">
        <f t="shared" si="39"/>
        <v>0.61049999999999993</v>
      </c>
      <c r="R206" s="121">
        <f t="shared" si="39"/>
        <v>0.61049999999999993</v>
      </c>
      <c r="S206" s="122" t="s">
        <v>413</v>
      </c>
      <c r="T206" s="108"/>
      <c r="U206" s="108"/>
      <c r="V206" s="108"/>
      <c r="W206" s="108"/>
      <c r="X206" s="108"/>
      <c r="Y206" s="108"/>
      <c r="Z206" s="108"/>
      <c r="AA206" s="108"/>
      <c r="AB206" s="108"/>
    </row>
    <row r="207" spans="1:28">
      <c r="A207" s="117" t="s">
        <v>366</v>
      </c>
      <c r="B207" s="117" t="s">
        <v>257</v>
      </c>
      <c r="C207" s="117" t="s">
        <v>257</v>
      </c>
      <c r="D207" s="117" t="s">
        <v>268</v>
      </c>
      <c r="E207" s="117" t="s">
        <v>268</v>
      </c>
      <c r="F207" s="117" t="s">
        <v>130</v>
      </c>
      <c r="G207" s="121">
        <v>0.41</v>
      </c>
      <c r="H207" s="121">
        <v>0.41</v>
      </c>
      <c r="I207" s="121">
        <f t="shared" si="35"/>
        <v>0.45100000000000001</v>
      </c>
      <c r="J207" s="121">
        <f t="shared" si="35"/>
        <v>0.45100000000000001</v>
      </c>
      <c r="K207" s="121">
        <f t="shared" si="36"/>
        <v>0.51249999999999996</v>
      </c>
      <c r="L207" s="121">
        <f t="shared" si="36"/>
        <v>0.51249999999999996</v>
      </c>
      <c r="M207" s="121">
        <f t="shared" si="37"/>
        <v>0.53300000000000003</v>
      </c>
      <c r="N207" s="121">
        <f t="shared" si="37"/>
        <v>0.53300000000000003</v>
      </c>
      <c r="O207" s="121">
        <f t="shared" si="38"/>
        <v>0.57399999999999995</v>
      </c>
      <c r="P207" s="121">
        <f t="shared" si="38"/>
        <v>0.57399999999999995</v>
      </c>
      <c r="Q207" s="121">
        <f t="shared" si="39"/>
        <v>0.61499999999999999</v>
      </c>
      <c r="R207" s="121">
        <f t="shared" si="39"/>
        <v>0.61499999999999999</v>
      </c>
      <c r="S207" s="118" t="s">
        <v>362</v>
      </c>
      <c r="T207" s="108"/>
      <c r="U207" s="108"/>
      <c r="V207" s="108"/>
      <c r="W207" s="108"/>
      <c r="X207" s="108"/>
      <c r="Y207" s="108"/>
      <c r="Z207" s="108"/>
      <c r="AA207" s="108"/>
      <c r="AB207" s="108"/>
    </row>
    <row r="208" spans="1:28" ht="20">
      <c r="A208" s="117" t="s">
        <v>367</v>
      </c>
      <c r="B208" s="117" t="s">
        <v>259</v>
      </c>
      <c r="C208" s="117" t="s">
        <v>259</v>
      </c>
      <c r="D208" s="117" t="s">
        <v>350</v>
      </c>
      <c r="E208" s="117" t="s">
        <v>350</v>
      </c>
      <c r="F208" s="117" t="s">
        <v>130</v>
      </c>
      <c r="G208" s="121">
        <v>0.43</v>
      </c>
      <c r="H208" s="121">
        <v>0.43</v>
      </c>
      <c r="I208" s="121">
        <f t="shared" si="35"/>
        <v>0.47300000000000003</v>
      </c>
      <c r="J208" s="121">
        <f t="shared" si="35"/>
        <v>0.47300000000000003</v>
      </c>
      <c r="K208" s="121">
        <f t="shared" si="36"/>
        <v>0.53749999999999998</v>
      </c>
      <c r="L208" s="121">
        <f t="shared" si="36"/>
        <v>0.53749999999999998</v>
      </c>
      <c r="M208" s="121">
        <f t="shared" si="37"/>
        <v>0.55900000000000005</v>
      </c>
      <c r="N208" s="121">
        <f t="shared" si="37"/>
        <v>0.55900000000000005</v>
      </c>
      <c r="O208" s="121">
        <f t="shared" si="38"/>
        <v>0.60199999999999998</v>
      </c>
      <c r="P208" s="121">
        <f t="shared" si="38"/>
        <v>0.60199999999999998</v>
      </c>
      <c r="Q208" s="121">
        <f t="shared" si="39"/>
        <v>0.64500000000000002</v>
      </c>
      <c r="R208" s="121">
        <f t="shared" si="39"/>
        <v>0.64500000000000002</v>
      </c>
      <c r="S208" s="122" t="s">
        <v>414</v>
      </c>
      <c r="T208" s="108"/>
      <c r="U208" s="108"/>
      <c r="V208" s="108"/>
      <c r="W208" s="108"/>
      <c r="X208" s="108"/>
      <c r="Y208" s="108"/>
      <c r="Z208" s="108"/>
      <c r="AA208" s="108"/>
      <c r="AB208" s="108"/>
    </row>
    <row r="209" spans="1:28">
      <c r="B209" s="117"/>
      <c r="D209" s="117"/>
      <c r="F209" s="117"/>
      <c r="G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T209" s="108"/>
      <c r="U209" s="108"/>
      <c r="V209" s="108"/>
      <c r="W209" s="108"/>
      <c r="X209" s="108"/>
      <c r="Y209" s="108"/>
      <c r="Z209" s="108"/>
      <c r="AA209" s="108"/>
      <c r="AB209" s="108"/>
    </row>
    <row r="210" spans="1:28">
      <c r="A210" s="117" t="s">
        <v>103</v>
      </c>
      <c r="T210" s="108"/>
      <c r="U210" s="108"/>
      <c r="V210" s="108"/>
      <c r="W210" s="108"/>
      <c r="X210" s="108"/>
      <c r="Y210" s="108"/>
      <c r="Z210" s="108"/>
      <c r="AA210" s="108"/>
      <c r="AB210" s="108"/>
    </row>
    <row r="211" spans="1:28">
      <c r="A211" s="119" t="s">
        <v>368</v>
      </c>
      <c r="C211" s="117"/>
      <c r="D211" s="121"/>
      <c r="T211" s="108"/>
      <c r="U211" s="108"/>
      <c r="V211" s="108"/>
      <c r="W211" s="108"/>
      <c r="X211" s="108"/>
      <c r="Y211" s="108"/>
      <c r="Z211" s="108"/>
      <c r="AA211" s="108"/>
      <c r="AB211" s="108"/>
    </row>
    <row r="212" spans="1:28">
      <c r="A212" s="117" t="s">
        <v>369</v>
      </c>
      <c r="B212" s="117" t="s">
        <v>134</v>
      </c>
      <c r="C212" s="117" t="s">
        <v>134</v>
      </c>
      <c r="D212" s="117" t="s">
        <v>113</v>
      </c>
      <c r="E212" s="117" t="s">
        <v>113</v>
      </c>
      <c r="F212" s="117" t="s">
        <v>130</v>
      </c>
      <c r="G212" s="117">
        <v>0.38500000000000001</v>
      </c>
      <c r="H212" s="117">
        <v>0.38500000000000001</v>
      </c>
      <c r="I212" s="121">
        <f t="shared" ref="I212:J218" si="40">$I$6*G212</f>
        <v>0.42350000000000004</v>
      </c>
      <c r="J212" s="121">
        <f t="shared" si="40"/>
        <v>0.42350000000000004</v>
      </c>
      <c r="K212" s="121">
        <f t="shared" ref="K212:L218" si="41">$K$6*G212</f>
        <v>0.48125000000000001</v>
      </c>
      <c r="L212" s="121">
        <f t="shared" si="41"/>
        <v>0.48125000000000001</v>
      </c>
      <c r="M212" s="121">
        <f t="shared" ref="M212:N218" si="42">$M$6*G212</f>
        <v>0.50050000000000006</v>
      </c>
      <c r="N212" s="121">
        <f t="shared" si="42"/>
        <v>0.50050000000000006</v>
      </c>
      <c r="O212" s="121">
        <f t="shared" ref="O212:P218" si="43">$O$6*G212</f>
        <v>0.53899999999999992</v>
      </c>
      <c r="P212" s="121">
        <f t="shared" si="43"/>
        <v>0.53899999999999992</v>
      </c>
      <c r="Q212" s="121">
        <f t="shared" ref="Q212:R218" si="44">$Q$6*G212</f>
        <v>0.57750000000000001</v>
      </c>
      <c r="R212" s="121">
        <f t="shared" si="44"/>
        <v>0.57750000000000001</v>
      </c>
      <c r="S212" s="118" t="s">
        <v>370</v>
      </c>
      <c r="T212" s="108"/>
      <c r="U212" s="108"/>
      <c r="V212" s="108"/>
      <c r="W212" s="108"/>
      <c r="X212" s="108"/>
      <c r="Y212" s="108"/>
      <c r="Z212" s="108"/>
      <c r="AA212" s="108"/>
      <c r="AB212" s="108"/>
    </row>
    <row r="213" spans="1:28">
      <c r="A213" s="117" t="s">
        <v>371</v>
      </c>
      <c r="B213" s="117" t="s">
        <v>112</v>
      </c>
      <c r="C213" s="117" t="s">
        <v>112</v>
      </c>
      <c r="D213" s="117" t="s">
        <v>101</v>
      </c>
      <c r="E213" s="117" t="s">
        <v>101</v>
      </c>
      <c r="F213" s="117" t="s">
        <v>130</v>
      </c>
      <c r="G213" s="117">
        <v>0.39100000000000001</v>
      </c>
      <c r="H213" s="117">
        <v>0.39100000000000001</v>
      </c>
      <c r="I213" s="121">
        <f t="shared" si="40"/>
        <v>0.43010000000000004</v>
      </c>
      <c r="J213" s="121">
        <f t="shared" si="40"/>
        <v>0.43010000000000004</v>
      </c>
      <c r="K213" s="121">
        <f t="shared" si="41"/>
        <v>0.48875000000000002</v>
      </c>
      <c r="L213" s="121">
        <f t="shared" si="41"/>
        <v>0.48875000000000002</v>
      </c>
      <c r="M213" s="121">
        <f t="shared" si="42"/>
        <v>0.50830000000000009</v>
      </c>
      <c r="N213" s="121">
        <f t="shared" si="42"/>
        <v>0.50830000000000009</v>
      </c>
      <c r="O213" s="121">
        <f t="shared" si="43"/>
        <v>0.5474</v>
      </c>
      <c r="P213" s="121">
        <f t="shared" si="43"/>
        <v>0.5474</v>
      </c>
      <c r="Q213" s="121">
        <f t="shared" si="44"/>
        <v>0.58650000000000002</v>
      </c>
      <c r="R213" s="121">
        <f t="shared" si="44"/>
        <v>0.58650000000000002</v>
      </c>
      <c r="S213" s="118" t="s">
        <v>372</v>
      </c>
      <c r="T213" s="108"/>
      <c r="U213" s="108"/>
      <c r="V213" s="108"/>
      <c r="W213" s="108"/>
      <c r="X213" s="108"/>
      <c r="Y213" s="108"/>
      <c r="Z213" s="108"/>
      <c r="AA213" s="108"/>
      <c r="AB213" s="108"/>
    </row>
    <row r="214" spans="1:28">
      <c r="A214" s="117" t="s">
        <v>373</v>
      </c>
      <c r="B214" s="117" t="s">
        <v>112</v>
      </c>
      <c r="C214" s="117" t="s">
        <v>134</v>
      </c>
      <c r="D214" s="117" t="s">
        <v>211</v>
      </c>
      <c r="E214" s="117" t="s">
        <v>113</v>
      </c>
      <c r="F214" s="117" t="s">
        <v>130</v>
      </c>
      <c r="G214" s="117">
        <v>0.40200000000000002</v>
      </c>
      <c r="H214" s="117">
        <v>0.38500000000000001</v>
      </c>
      <c r="I214" s="121">
        <f t="shared" si="40"/>
        <v>0.44220000000000004</v>
      </c>
      <c r="J214" s="121">
        <f t="shared" si="40"/>
        <v>0.42350000000000004</v>
      </c>
      <c r="K214" s="121">
        <f t="shared" si="41"/>
        <v>0.50250000000000006</v>
      </c>
      <c r="L214" s="121">
        <f t="shared" si="41"/>
        <v>0.48125000000000001</v>
      </c>
      <c r="M214" s="121">
        <f t="shared" si="42"/>
        <v>0.52260000000000006</v>
      </c>
      <c r="N214" s="121">
        <f t="shared" si="42"/>
        <v>0.50050000000000006</v>
      </c>
      <c r="O214" s="121">
        <f t="shared" si="43"/>
        <v>0.56279999999999997</v>
      </c>
      <c r="P214" s="121">
        <f t="shared" si="43"/>
        <v>0.53899999999999992</v>
      </c>
      <c r="Q214" s="121">
        <f t="shared" si="44"/>
        <v>0.60299999999999998</v>
      </c>
      <c r="R214" s="121">
        <f t="shared" si="44"/>
        <v>0.57750000000000001</v>
      </c>
      <c r="S214" s="118" t="s">
        <v>374</v>
      </c>
      <c r="T214" s="108"/>
      <c r="U214" s="108"/>
      <c r="V214" s="108"/>
      <c r="W214" s="108"/>
      <c r="X214" s="108"/>
      <c r="Y214" s="108"/>
      <c r="Z214" s="108"/>
      <c r="AA214" s="108"/>
      <c r="AB214" s="108"/>
    </row>
    <row r="215" spans="1:28">
      <c r="A215" s="117" t="s">
        <v>375</v>
      </c>
      <c r="B215" s="117" t="s">
        <v>116</v>
      </c>
      <c r="C215" s="117" t="s">
        <v>112</v>
      </c>
      <c r="D215" s="117" t="s">
        <v>117</v>
      </c>
      <c r="E215" s="117" t="s">
        <v>202</v>
      </c>
      <c r="F215" s="117" t="s">
        <v>130</v>
      </c>
      <c r="G215" s="117">
        <v>0.40899999999999997</v>
      </c>
      <c r="H215" s="117">
        <v>0.39100000000000001</v>
      </c>
      <c r="I215" s="121">
        <f t="shared" si="40"/>
        <v>0.44990000000000002</v>
      </c>
      <c r="J215" s="121">
        <f t="shared" si="40"/>
        <v>0.43010000000000004</v>
      </c>
      <c r="K215" s="121">
        <f t="shared" si="41"/>
        <v>0.51124999999999998</v>
      </c>
      <c r="L215" s="121">
        <f t="shared" si="41"/>
        <v>0.48875000000000002</v>
      </c>
      <c r="M215" s="121">
        <f t="shared" si="42"/>
        <v>0.53169999999999995</v>
      </c>
      <c r="N215" s="121">
        <f t="shared" si="42"/>
        <v>0.50830000000000009</v>
      </c>
      <c r="O215" s="121">
        <f t="shared" si="43"/>
        <v>0.57259999999999989</v>
      </c>
      <c r="P215" s="121">
        <f t="shared" si="43"/>
        <v>0.5474</v>
      </c>
      <c r="Q215" s="121">
        <f t="shared" si="44"/>
        <v>0.61349999999999993</v>
      </c>
      <c r="R215" s="121">
        <f t="shared" si="44"/>
        <v>0.58650000000000002</v>
      </c>
      <c r="S215" s="118" t="s">
        <v>396</v>
      </c>
      <c r="T215" s="108"/>
      <c r="U215" s="108"/>
      <c r="V215" s="108"/>
      <c r="W215" s="108"/>
      <c r="X215" s="108"/>
      <c r="Y215" s="108"/>
      <c r="Z215" s="108"/>
      <c r="AA215" s="108"/>
      <c r="AB215" s="108"/>
    </row>
    <row r="216" spans="1:28">
      <c r="A216" s="117" t="s">
        <v>376</v>
      </c>
      <c r="B216" s="117" t="s">
        <v>213</v>
      </c>
      <c r="C216" s="117" t="s">
        <v>213</v>
      </c>
      <c r="D216" s="117" t="s">
        <v>117</v>
      </c>
      <c r="E216" s="117" t="s">
        <v>117</v>
      </c>
      <c r="F216" s="117" t="s">
        <v>130</v>
      </c>
      <c r="G216" s="117">
        <v>0.39500000000000002</v>
      </c>
      <c r="H216" s="117">
        <v>0.39500000000000002</v>
      </c>
      <c r="I216" s="121">
        <f t="shared" si="40"/>
        <v>0.43450000000000005</v>
      </c>
      <c r="J216" s="121">
        <f t="shared" si="40"/>
        <v>0.43450000000000005</v>
      </c>
      <c r="K216" s="121">
        <f t="shared" si="41"/>
        <v>0.49375000000000002</v>
      </c>
      <c r="L216" s="121">
        <f t="shared" si="41"/>
        <v>0.49375000000000002</v>
      </c>
      <c r="M216" s="121">
        <f t="shared" si="42"/>
        <v>0.51350000000000007</v>
      </c>
      <c r="N216" s="121">
        <f t="shared" si="42"/>
        <v>0.51350000000000007</v>
      </c>
      <c r="O216" s="121">
        <f t="shared" si="43"/>
        <v>0.55299999999999994</v>
      </c>
      <c r="P216" s="121">
        <f t="shared" si="43"/>
        <v>0.55299999999999994</v>
      </c>
      <c r="Q216" s="121">
        <f t="shared" si="44"/>
        <v>0.59250000000000003</v>
      </c>
      <c r="R216" s="121">
        <f t="shared" si="44"/>
        <v>0.59250000000000003</v>
      </c>
      <c r="S216" s="118" t="s">
        <v>377</v>
      </c>
      <c r="T216" s="108"/>
      <c r="U216" s="108"/>
      <c r="V216" s="108"/>
      <c r="W216" s="108"/>
      <c r="X216" s="108"/>
      <c r="Y216" s="108"/>
      <c r="Z216" s="108"/>
      <c r="AA216" s="108"/>
      <c r="AB216" s="108"/>
    </row>
    <row r="217" spans="1:28">
      <c r="A217" s="117" t="s">
        <v>378</v>
      </c>
      <c r="B217" s="117" t="s">
        <v>166</v>
      </c>
      <c r="C217" s="117" t="s">
        <v>166</v>
      </c>
      <c r="D217" s="117" t="s">
        <v>128</v>
      </c>
      <c r="E217" s="117" t="s">
        <v>128</v>
      </c>
      <c r="F217" s="117" t="s">
        <v>130</v>
      </c>
      <c r="G217" s="117">
        <v>0.40200000000000002</v>
      </c>
      <c r="H217" s="117">
        <v>0.40200000000000002</v>
      </c>
      <c r="I217" s="121">
        <f t="shared" si="40"/>
        <v>0.44220000000000004</v>
      </c>
      <c r="J217" s="121">
        <f t="shared" si="40"/>
        <v>0.44220000000000004</v>
      </c>
      <c r="K217" s="121">
        <f t="shared" si="41"/>
        <v>0.50250000000000006</v>
      </c>
      <c r="L217" s="121">
        <f t="shared" si="41"/>
        <v>0.50250000000000006</v>
      </c>
      <c r="M217" s="121">
        <f t="shared" si="42"/>
        <v>0.52260000000000006</v>
      </c>
      <c r="N217" s="121">
        <f t="shared" si="42"/>
        <v>0.52260000000000006</v>
      </c>
      <c r="O217" s="121">
        <f t="shared" si="43"/>
        <v>0.56279999999999997</v>
      </c>
      <c r="P217" s="121">
        <f t="shared" si="43"/>
        <v>0.56279999999999997</v>
      </c>
      <c r="Q217" s="121">
        <f t="shared" si="44"/>
        <v>0.60299999999999998</v>
      </c>
      <c r="R217" s="121">
        <f t="shared" si="44"/>
        <v>0.60299999999999998</v>
      </c>
      <c r="S217" s="118" t="s">
        <v>379</v>
      </c>
      <c r="T217" s="108"/>
      <c r="U217" s="108"/>
      <c r="V217" s="108"/>
      <c r="W217" s="108"/>
      <c r="X217" s="108"/>
      <c r="Y217" s="108"/>
      <c r="Z217" s="108"/>
      <c r="AA217" s="108"/>
      <c r="AB217" s="108"/>
    </row>
    <row r="218" spans="1:28">
      <c r="A218" s="117" t="s">
        <v>380</v>
      </c>
      <c r="B218" s="117" t="s">
        <v>207</v>
      </c>
      <c r="C218" s="117" t="s">
        <v>207</v>
      </c>
      <c r="D218" s="117" t="s">
        <v>105</v>
      </c>
      <c r="E218" s="117" t="s">
        <v>105</v>
      </c>
      <c r="F218" s="117" t="s">
        <v>130</v>
      </c>
      <c r="G218" s="117">
        <v>0.40400000000000003</v>
      </c>
      <c r="H218" s="117">
        <v>0.40400000000000003</v>
      </c>
      <c r="I218" s="121">
        <f t="shared" si="40"/>
        <v>0.44440000000000007</v>
      </c>
      <c r="J218" s="121">
        <f t="shared" si="40"/>
        <v>0.44440000000000007</v>
      </c>
      <c r="K218" s="121">
        <f t="shared" si="41"/>
        <v>0.505</v>
      </c>
      <c r="L218" s="121">
        <f t="shared" si="41"/>
        <v>0.505</v>
      </c>
      <c r="M218" s="121">
        <f t="shared" si="42"/>
        <v>0.5252</v>
      </c>
      <c r="N218" s="121">
        <f t="shared" si="42"/>
        <v>0.5252</v>
      </c>
      <c r="O218" s="121">
        <f t="shared" si="43"/>
        <v>0.56559999999999999</v>
      </c>
      <c r="P218" s="121">
        <f t="shared" si="43"/>
        <v>0.56559999999999999</v>
      </c>
      <c r="Q218" s="121">
        <f t="shared" si="44"/>
        <v>0.60600000000000009</v>
      </c>
      <c r="R218" s="121">
        <f t="shared" si="44"/>
        <v>0.60600000000000009</v>
      </c>
      <c r="S218" s="118" t="s">
        <v>381</v>
      </c>
      <c r="T218" s="108"/>
      <c r="U218" s="108"/>
      <c r="V218" s="108"/>
      <c r="W218" s="108"/>
      <c r="X218" s="108"/>
      <c r="Y218" s="108"/>
      <c r="Z218" s="108"/>
      <c r="AA218" s="108"/>
      <c r="AB218" s="10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topLeftCell="A2" zoomScale="125" zoomScaleNormal="125" zoomScalePageLayoutView="125" workbookViewId="0">
      <selection activeCell="A2" sqref="A2"/>
    </sheetView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8" width="8.28515625" style="2" customWidth="1"/>
    <col min="9" max="9" width="8.42578125" style="2" customWidth="1"/>
    <col min="10" max="10" width="10.7109375" style="2"/>
    <col min="11" max="11" width="7.85546875" style="2" customWidth="1"/>
    <col min="12" max="16384" width="10.7109375" style="2"/>
  </cols>
  <sheetData>
    <row r="1" spans="2:20" ht="19" customHeight="1">
      <c r="M1" s="162"/>
      <c r="N1" s="437" t="s">
        <v>87</v>
      </c>
      <c r="O1" s="94"/>
    </row>
    <row r="2" spans="2:20" ht="22" customHeight="1">
      <c r="M2" s="438" t="s">
        <v>690</v>
      </c>
      <c r="N2" s="435" t="s">
        <v>91</v>
      </c>
      <c r="O2" s="85"/>
    </row>
    <row r="3" spans="2:20" ht="21">
      <c r="E3" s="110" t="s">
        <v>62</v>
      </c>
      <c r="I3" s="40" t="s">
        <v>32</v>
      </c>
      <c r="M3" s="163"/>
      <c r="N3" s="222" t="s">
        <v>689</v>
      </c>
      <c r="O3" s="83"/>
    </row>
    <row r="4" spans="2:20" ht="19" customHeight="1">
      <c r="M4" s="434" t="s">
        <v>686</v>
      </c>
      <c r="N4" s="436" t="s">
        <v>688</v>
      </c>
      <c r="O4" s="83"/>
    </row>
    <row r="5" spans="2:20" ht="17">
      <c r="B5" s="102" t="s">
        <v>63</v>
      </c>
      <c r="C5" s="111"/>
      <c r="E5" s="87" t="s">
        <v>65</v>
      </c>
      <c r="F5" s="89" t="s">
        <v>67</v>
      </c>
      <c r="G5" s="172">
        <f>0.621371192*G6</f>
        <v>3280.83989376</v>
      </c>
      <c r="J5" s="445" t="s">
        <v>689</v>
      </c>
      <c r="M5" s="163"/>
      <c r="N5" s="250"/>
      <c r="O5" s="83"/>
    </row>
    <row r="6" spans="2:20" ht="17">
      <c r="B6" s="86">
        <v>200</v>
      </c>
      <c r="C6" s="81"/>
      <c r="E6" s="88">
        <f>G6</f>
        <v>5280</v>
      </c>
      <c r="F6" s="170" t="s">
        <v>66</v>
      </c>
      <c r="G6" s="171">
        <v>5280</v>
      </c>
      <c r="J6" s="446" t="str">
        <f>CONCATENATE(I8,"/",I9,"R",I10)</f>
        <v>175/65R13</v>
      </c>
      <c r="M6" s="163"/>
      <c r="N6" s="164" t="s">
        <v>76</v>
      </c>
      <c r="O6" s="83"/>
    </row>
    <row r="7" spans="2:20" ht="18">
      <c r="B7" s="74" t="s">
        <v>61</v>
      </c>
      <c r="C7" s="470">
        <f>J22</f>
        <v>-3.8181818181818183</v>
      </c>
      <c r="D7" s="470">
        <f>J21</f>
        <v>3.5</v>
      </c>
      <c r="E7" s="470">
        <f>J20</f>
        <v>2.0555555555555554</v>
      </c>
      <c r="F7" s="470">
        <f>J19</f>
        <v>1.3846153846153846</v>
      </c>
      <c r="G7" s="470">
        <f>J18</f>
        <v>1.037037037037037</v>
      </c>
      <c r="H7" s="471">
        <f>J17</f>
        <v>0.85</v>
      </c>
      <c r="I7" s="96"/>
      <c r="J7" s="109" t="s">
        <v>79</v>
      </c>
      <c r="K7" s="94"/>
      <c r="M7" s="434" t="s">
        <v>686</v>
      </c>
      <c r="N7" s="197" t="s">
        <v>687</v>
      </c>
      <c r="O7" s="83"/>
    </row>
    <row r="8" spans="2:20" ht="17">
      <c r="B8" s="141" t="s">
        <v>60</v>
      </c>
      <c r="C8" s="119" t="s">
        <v>13</v>
      </c>
      <c r="D8" s="119" t="s">
        <v>53</v>
      </c>
      <c r="E8" s="119" t="s">
        <v>54</v>
      </c>
      <c r="F8" s="119" t="s">
        <v>55</v>
      </c>
      <c r="G8" s="119" t="s">
        <v>56</v>
      </c>
      <c r="H8" s="142" t="s">
        <v>57</v>
      </c>
      <c r="I8" s="97">
        <v>175</v>
      </c>
      <c r="J8" s="105" t="s">
        <v>81</v>
      </c>
      <c r="K8" s="83"/>
      <c r="M8" s="163"/>
      <c r="N8" s="250"/>
      <c r="O8" s="83"/>
    </row>
    <row r="9" spans="2:20" ht="17">
      <c r="B9" s="73" t="s">
        <v>58</v>
      </c>
      <c r="C9" s="75">
        <f t="shared" ref="C9:H9" si="0">$J$16*C7</f>
        <v>-20.826446280991735</v>
      </c>
      <c r="D9" s="75">
        <f t="shared" si="0"/>
        <v>19.09090909090909</v>
      </c>
      <c r="E9" s="75">
        <f t="shared" si="0"/>
        <v>11.212121212121211</v>
      </c>
      <c r="F9" s="75">
        <f t="shared" si="0"/>
        <v>7.5524475524475516</v>
      </c>
      <c r="G9" s="75">
        <f t="shared" si="0"/>
        <v>5.6565656565656557</v>
      </c>
      <c r="H9" s="76">
        <f t="shared" si="0"/>
        <v>4.6363636363636358</v>
      </c>
      <c r="I9" s="97">
        <v>65</v>
      </c>
      <c r="J9" s="105" t="s">
        <v>80</v>
      </c>
      <c r="K9" s="83"/>
      <c r="M9" s="163"/>
      <c r="N9" s="222" t="s">
        <v>684</v>
      </c>
      <c r="O9" s="83"/>
    </row>
    <row r="10" spans="2:20" ht="17">
      <c r="B10" s="69">
        <v>1000</v>
      </c>
      <c r="C10" s="68">
        <f>60*$I$14*B10/$C$9/$E$6</f>
        <v>-3.1364452574901613</v>
      </c>
      <c r="D10" s="68">
        <f t="shared" ref="D10:D54" si="1">60*$I$14*B10/$D$9/$E$6</f>
        <v>3.4215766445347215</v>
      </c>
      <c r="E10" s="68">
        <f t="shared" ref="E10:E54" si="2">60*$I$14*B10/$E$9/$E$6</f>
        <v>5.8259278001537149</v>
      </c>
      <c r="F10" s="68">
        <f t="shared" ref="F10:F54" si="3">60*$I$14*B10/$F$9/$E$6</f>
        <v>8.6489854070183245</v>
      </c>
      <c r="G10" s="68">
        <f t="shared" ref="G10:G54" si="4">60*$I$14*B10/$G$9/$E$6</f>
        <v>11.547821175304685</v>
      </c>
      <c r="H10" s="70">
        <f t="shared" ref="H10:H54" si="5">60*$I$14*B10/$H$9/$E$6</f>
        <v>14.088845006907677</v>
      </c>
      <c r="I10" s="98">
        <v>13</v>
      </c>
      <c r="J10" s="105" t="s">
        <v>83</v>
      </c>
      <c r="K10" s="83"/>
      <c r="M10" s="434" t="s">
        <v>686</v>
      </c>
      <c r="N10" s="197" t="s">
        <v>685</v>
      </c>
      <c r="O10" s="83"/>
    </row>
    <row r="11" spans="2:20" ht="17">
      <c r="B11" s="79">
        <f t="shared" ref="B11:B54" si="6">B10+$B$6</f>
        <v>1200</v>
      </c>
      <c r="C11" s="68">
        <f t="shared" ref="C11:C54" si="7">60*$I$14*B11/$C$9/$E$6</f>
        <v>-3.7637343089881936</v>
      </c>
      <c r="D11" s="68">
        <f t="shared" si="1"/>
        <v>4.1058919734416657</v>
      </c>
      <c r="E11" s="68">
        <f t="shared" si="2"/>
        <v>6.9911133601844595</v>
      </c>
      <c r="F11" s="68">
        <f t="shared" si="3"/>
        <v>10.37878248842199</v>
      </c>
      <c r="G11" s="68">
        <f t="shared" si="4"/>
        <v>13.857385410365627</v>
      </c>
      <c r="H11" s="70">
        <f t="shared" si="5"/>
        <v>16.906614008289214</v>
      </c>
      <c r="I11" s="93">
        <f>(I13-I10)/2</f>
        <v>4.4783464566929148</v>
      </c>
      <c r="J11" s="105" t="s">
        <v>86</v>
      </c>
      <c r="K11" s="83"/>
      <c r="M11" s="163"/>
      <c r="N11" s="164"/>
      <c r="O11" s="83"/>
    </row>
    <row r="12" spans="2:20" ht="17">
      <c r="B12" s="79">
        <f t="shared" si="6"/>
        <v>1400</v>
      </c>
      <c r="C12" s="68">
        <f t="shared" si="7"/>
        <v>-4.3910233604862254</v>
      </c>
      <c r="D12" s="68">
        <f t="shared" si="1"/>
        <v>4.7902073023486107</v>
      </c>
      <c r="E12" s="68">
        <f t="shared" si="2"/>
        <v>8.1562989202152014</v>
      </c>
      <c r="F12" s="68">
        <f t="shared" si="3"/>
        <v>12.108579569825654</v>
      </c>
      <c r="G12" s="68">
        <f t="shared" si="4"/>
        <v>16.166949645426563</v>
      </c>
      <c r="H12" s="70">
        <f t="shared" si="5"/>
        <v>19.724383009670749</v>
      </c>
      <c r="I12" s="100">
        <f>I8/25.4</f>
        <v>6.8897637795275593</v>
      </c>
      <c r="J12" s="105" t="s">
        <v>82</v>
      </c>
      <c r="K12" s="83"/>
      <c r="M12" s="163"/>
      <c r="N12" s="222" t="s">
        <v>73</v>
      </c>
      <c r="O12" s="83"/>
    </row>
    <row r="13" spans="2:20" ht="17">
      <c r="B13" s="79">
        <f t="shared" si="6"/>
        <v>1600</v>
      </c>
      <c r="C13" s="68">
        <f t="shared" si="7"/>
        <v>-5.0183124119842581</v>
      </c>
      <c r="D13" s="68">
        <f t="shared" si="1"/>
        <v>5.4745226312555548</v>
      </c>
      <c r="E13" s="68">
        <f t="shared" si="2"/>
        <v>9.321484480245946</v>
      </c>
      <c r="F13" s="68">
        <f t="shared" si="3"/>
        <v>13.838376651229321</v>
      </c>
      <c r="G13" s="68">
        <f t="shared" si="4"/>
        <v>18.476513880487499</v>
      </c>
      <c r="H13" s="70">
        <f t="shared" si="5"/>
        <v>22.542152011052284</v>
      </c>
      <c r="I13" s="99">
        <f>0.02*I8*I9/25.4+I10</f>
        <v>21.95669291338583</v>
      </c>
      <c r="J13" s="106" t="s">
        <v>84</v>
      </c>
      <c r="K13" s="83"/>
      <c r="M13" s="434" t="s">
        <v>68</v>
      </c>
      <c r="N13" s="197" t="s">
        <v>75</v>
      </c>
      <c r="O13" s="83"/>
    </row>
    <row r="14" spans="2:20" ht="17">
      <c r="B14" s="79">
        <f t="shared" si="6"/>
        <v>1800</v>
      </c>
      <c r="C14" s="68">
        <f t="shared" si="7"/>
        <v>-5.6456014634822909</v>
      </c>
      <c r="D14" s="68">
        <f t="shared" si="1"/>
        <v>6.1588379601624998</v>
      </c>
      <c r="E14" s="68">
        <f t="shared" si="2"/>
        <v>10.486670040276689</v>
      </c>
      <c r="F14" s="68">
        <f t="shared" si="3"/>
        <v>15.568173732632987</v>
      </c>
      <c r="G14" s="68">
        <f t="shared" si="4"/>
        <v>20.786078115548438</v>
      </c>
      <c r="H14" s="70">
        <f t="shared" si="5"/>
        <v>25.359921012433823</v>
      </c>
      <c r="I14" s="101">
        <f>PI()*I13/12</f>
        <v>5.7482487628183323</v>
      </c>
      <c r="J14" s="107" t="s">
        <v>85</v>
      </c>
      <c r="K14" s="85"/>
      <c r="M14" s="434" t="s">
        <v>69</v>
      </c>
      <c r="N14" s="197" t="s">
        <v>74</v>
      </c>
      <c r="O14" s="83"/>
    </row>
    <row r="15" spans="2:20" ht="17">
      <c r="B15" s="79">
        <f t="shared" si="6"/>
        <v>2000</v>
      </c>
      <c r="C15" s="68">
        <f t="shared" si="7"/>
        <v>-6.2728905149803227</v>
      </c>
      <c r="D15" s="68">
        <f t="shared" si="1"/>
        <v>6.8431532890694431</v>
      </c>
      <c r="E15" s="68">
        <f t="shared" si="2"/>
        <v>11.65185560030743</v>
      </c>
      <c r="F15" s="68">
        <f t="shared" si="3"/>
        <v>17.297970814036649</v>
      </c>
      <c r="G15" s="68">
        <f t="shared" si="4"/>
        <v>23.095642350609371</v>
      </c>
      <c r="H15" s="70">
        <f t="shared" si="5"/>
        <v>28.177690013815354</v>
      </c>
      <c r="I15" s="95"/>
      <c r="J15" s="74" t="s">
        <v>20</v>
      </c>
      <c r="K15" s="32"/>
      <c r="L15" s="32"/>
      <c r="M15" s="163"/>
      <c r="N15" s="250"/>
      <c r="O15" s="83"/>
    </row>
    <row r="16" spans="2:20" ht="17">
      <c r="B16" s="79">
        <f t="shared" si="6"/>
        <v>2200</v>
      </c>
      <c r="C16" s="68">
        <f t="shared" si="7"/>
        <v>-6.9001795664783554</v>
      </c>
      <c r="D16" s="68">
        <f t="shared" si="1"/>
        <v>7.5274686179763881</v>
      </c>
      <c r="E16" s="68">
        <f t="shared" si="2"/>
        <v>12.817041160338174</v>
      </c>
      <c r="F16" s="68">
        <f t="shared" si="3"/>
        <v>19.027767895440313</v>
      </c>
      <c r="G16" s="68">
        <f t="shared" si="4"/>
        <v>25.405206585670314</v>
      </c>
      <c r="H16" s="70">
        <f t="shared" si="5"/>
        <v>30.995459015196893</v>
      </c>
      <c r="I16" s="82" t="s">
        <v>454</v>
      </c>
      <c r="J16" s="165">
        <f>60/11</f>
        <v>5.4545454545454541</v>
      </c>
      <c r="K16" s="119" t="s">
        <v>36</v>
      </c>
      <c r="L16" s="67"/>
      <c r="M16" s="163"/>
      <c r="N16" s="222" t="s">
        <v>72</v>
      </c>
      <c r="O16" s="83"/>
      <c r="T16" s="2" t="s">
        <v>459</v>
      </c>
    </row>
    <row r="17" spans="2:15" ht="17">
      <c r="B17" s="79">
        <f t="shared" si="6"/>
        <v>2400</v>
      </c>
      <c r="C17" s="68">
        <f t="shared" si="7"/>
        <v>-7.5274686179763872</v>
      </c>
      <c r="D17" s="68">
        <f t="shared" si="1"/>
        <v>8.2117839468833314</v>
      </c>
      <c r="E17" s="68">
        <f t="shared" si="2"/>
        <v>13.982226720368919</v>
      </c>
      <c r="F17" s="68">
        <f t="shared" si="3"/>
        <v>20.75756497684398</v>
      </c>
      <c r="G17" s="68">
        <f t="shared" si="4"/>
        <v>27.714770820731253</v>
      </c>
      <c r="H17" s="70">
        <f t="shared" si="5"/>
        <v>33.813228016578428</v>
      </c>
      <c r="I17" s="82">
        <v>5</v>
      </c>
      <c r="J17" s="165">
        <f>17/20</f>
        <v>0.85</v>
      </c>
      <c r="K17" s="8">
        <f>J18/J17</f>
        <v>1.2200435729847494</v>
      </c>
      <c r="L17" s="121">
        <f>J18/J17</f>
        <v>1.2200435729847494</v>
      </c>
      <c r="M17" s="434" t="s">
        <v>68</v>
      </c>
      <c r="N17" s="197" t="s">
        <v>70</v>
      </c>
      <c r="O17" s="83"/>
    </row>
    <row r="18" spans="2:15" ht="17">
      <c r="B18" s="79">
        <f t="shared" si="6"/>
        <v>2600</v>
      </c>
      <c r="C18" s="68">
        <f t="shared" si="7"/>
        <v>-8.154757669474419</v>
      </c>
      <c r="D18" s="68">
        <f t="shared" si="1"/>
        <v>8.8960992757902773</v>
      </c>
      <c r="E18" s="68">
        <f t="shared" si="2"/>
        <v>15.14741228039966</v>
      </c>
      <c r="F18" s="68">
        <f t="shared" si="3"/>
        <v>22.487362058247644</v>
      </c>
      <c r="G18" s="68">
        <f t="shared" si="4"/>
        <v>30.024335055792189</v>
      </c>
      <c r="H18" s="70">
        <f t="shared" si="5"/>
        <v>36.630997017959963</v>
      </c>
      <c r="I18" s="82">
        <v>4</v>
      </c>
      <c r="J18" s="165">
        <f>28/27</f>
        <v>1.037037037037037</v>
      </c>
      <c r="K18" s="8">
        <f>J19/J18</f>
        <v>1.3351648351648353</v>
      </c>
      <c r="L18" s="121">
        <f>J19/J17</f>
        <v>1.6289592760180995</v>
      </c>
      <c r="M18" s="434" t="s">
        <v>69</v>
      </c>
      <c r="N18" s="197" t="s">
        <v>71</v>
      </c>
      <c r="O18" s="83"/>
    </row>
    <row r="19" spans="2:15" ht="17">
      <c r="B19" s="79">
        <f t="shared" si="6"/>
        <v>2800</v>
      </c>
      <c r="C19" s="68">
        <f t="shared" si="7"/>
        <v>-8.7820467209724509</v>
      </c>
      <c r="D19" s="68">
        <f t="shared" si="1"/>
        <v>9.5804146046972214</v>
      </c>
      <c r="E19" s="68">
        <f t="shared" si="2"/>
        <v>16.312597840430403</v>
      </c>
      <c r="F19" s="68">
        <f t="shared" si="3"/>
        <v>24.217159139651308</v>
      </c>
      <c r="G19" s="68">
        <f t="shared" si="4"/>
        <v>32.333899290853125</v>
      </c>
      <c r="H19" s="70">
        <f t="shared" si="5"/>
        <v>39.448766019341498</v>
      </c>
      <c r="I19" s="82">
        <v>3</v>
      </c>
      <c r="J19" s="165">
        <f>36/26</f>
        <v>1.3846153846153846</v>
      </c>
      <c r="K19" s="8">
        <f>J20/J19</f>
        <v>1.4845679012345678</v>
      </c>
      <c r="L19" s="121">
        <f>J20/J17</f>
        <v>2.4183006535947711</v>
      </c>
      <c r="M19" s="163"/>
      <c r="N19" s="250"/>
      <c r="O19" s="83"/>
    </row>
    <row r="20" spans="2:15" ht="17">
      <c r="B20" s="79">
        <f t="shared" si="6"/>
        <v>3000</v>
      </c>
      <c r="C20" s="68">
        <f t="shared" si="7"/>
        <v>-9.4093357724704845</v>
      </c>
      <c r="D20" s="68">
        <f t="shared" si="1"/>
        <v>10.264729933604166</v>
      </c>
      <c r="E20" s="68">
        <f t="shared" si="2"/>
        <v>17.477783400461146</v>
      </c>
      <c r="F20" s="68">
        <f t="shared" si="3"/>
        <v>25.946956221054972</v>
      </c>
      <c r="G20" s="68">
        <f t="shared" si="4"/>
        <v>34.643463525914065</v>
      </c>
      <c r="H20" s="70">
        <f t="shared" si="5"/>
        <v>42.26653502072304</v>
      </c>
      <c r="I20" s="82">
        <v>2</v>
      </c>
      <c r="J20" s="165">
        <f>37/18</f>
        <v>2.0555555555555554</v>
      </c>
      <c r="K20" s="8">
        <f>J21/J20</f>
        <v>1.7027027027027029</v>
      </c>
      <c r="L20" s="16">
        <f>J21/J17</f>
        <v>4.1176470588235299</v>
      </c>
      <c r="M20" s="163"/>
      <c r="N20" s="222" t="s">
        <v>76</v>
      </c>
      <c r="O20" s="83"/>
    </row>
    <row r="21" spans="2:15" ht="17">
      <c r="B21" s="79">
        <f t="shared" si="6"/>
        <v>3200</v>
      </c>
      <c r="C21" s="68">
        <f t="shared" si="7"/>
        <v>-10.036624823968516</v>
      </c>
      <c r="D21" s="68">
        <f t="shared" si="1"/>
        <v>10.94904526251111</v>
      </c>
      <c r="E21" s="68">
        <f t="shared" si="2"/>
        <v>18.642968960491892</v>
      </c>
      <c r="F21" s="68">
        <f t="shared" si="3"/>
        <v>27.676753302458643</v>
      </c>
      <c r="G21" s="68">
        <f t="shared" si="4"/>
        <v>36.953027760974997</v>
      </c>
      <c r="H21" s="70">
        <f t="shared" si="5"/>
        <v>45.084304022104568</v>
      </c>
      <c r="I21" s="82">
        <v>1</v>
      </c>
      <c r="J21" s="165">
        <f>42/12</f>
        <v>3.5</v>
      </c>
      <c r="K21" s="66"/>
      <c r="L21" s="119" t="s">
        <v>4</v>
      </c>
      <c r="M21" s="434" t="s">
        <v>68</v>
      </c>
      <c r="N21" s="197" t="s">
        <v>78</v>
      </c>
      <c r="O21" s="83"/>
    </row>
    <row r="22" spans="2:15" ht="17">
      <c r="B22" s="79">
        <f t="shared" si="6"/>
        <v>3400</v>
      </c>
      <c r="C22" s="68">
        <f t="shared" si="7"/>
        <v>-10.663913875466548</v>
      </c>
      <c r="D22" s="68">
        <f t="shared" si="1"/>
        <v>11.633360591418052</v>
      </c>
      <c r="E22" s="68">
        <f t="shared" si="2"/>
        <v>19.808154520522631</v>
      </c>
      <c r="F22" s="68">
        <f t="shared" si="3"/>
        <v>29.406550383862303</v>
      </c>
      <c r="G22" s="68">
        <f t="shared" si="4"/>
        <v>39.262591996035937</v>
      </c>
      <c r="H22" s="70">
        <f t="shared" si="5"/>
        <v>47.902073023486103</v>
      </c>
      <c r="I22" s="84" t="s">
        <v>13</v>
      </c>
      <c r="J22" s="166">
        <f>-42/11</f>
        <v>-3.8181818181818183</v>
      </c>
      <c r="K22" s="169" t="s">
        <v>51</v>
      </c>
      <c r="L22" s="161">
        <f>J16*J17</f>
        <v>4.6363636363636358</v>
      </c>
      <c r="M22" s="438" t="s">
        <v>69</v>
      </c>
      <c r="N22" s="439" t="s">
        <v>77</v>
      </c>
      <c r="O22" s="85"/>
    </row>
    <row r="23" spans="2:15" ht="17">
      <c r="B23" s="79">
        <f t="shared" si="6"/>
        <v>3600</v>
      </c>
      <c r="C23" s="68">
        <f t="shared" si="7"/>
        <v>-11.291202926964582</v>
      </c>
      <c r="D23" s="68">
        <f t="shared" si="1"/>
        <v>12.317675920325</v>
      </c>
      <c r="E23" s="68">
        <f t="shared" si="2"/>
        <v>20.973340080553378</v>
      </c>
      <c r="F23" s="68">
        <f t="shared" si="3"/>
        <v>31.136347465265974</v>
      </c>
      <c r="G23" s="68">
        <f t="shared" si="4"/>
        <v>41.572156231096876</v>
      </c>
      <c r="H23" s="70">
        <f t="shared" si="5"/>
        <v>50.719842024867646</v>
      </c>
      <c r="J23" s="251"/>
      <c r="N23" s="117"/>
    </row>
    <row r="24" spans="2:15" ht="17">
      <c r="B24" s="79">
        <f t="shared" si="6"/>
        <v>3800</v>
      </c>
      <c r="C24" s="68">
        <f t="shared" si="7"/>
        <v>-11.918491978462614</v>
      </c>
      <c r="D24" s="68">
        <f t="shared" si="1"/>
        <v>13.001991249231942</v>
      </c>
      <c r="E24" s="68">
        <f t="shared" si="2"/>
        <v>22.13852564058412</v>
      </c>
      <c r="F24" s="68">
        <f t="shared" si="3"/>
        <v>32.866144546669638</v>
      </c>
      <c r="G24" s="68">
        <f t="shared" si="4"/>
        <v>43.881720466157809</v>
      </c>
      <c r="H24" s="70">
        <f t="shared" si="5"/>
        <v>53.537611026249181</v>
      </c>
      <c r="N24" s="104"/>
    </row>
    <row r="25" spans="2:15" ht="17">
      <c r="B25" s="79">
        <f t="shared" si="6"/>
        <v>4000</v>
      </c>
      <c r="C25" s="68">
        <f t="shared" si="7"/>
        <v>-12.545781029960645</v>
      </c>
      <c r="D25" s="68">
        <f t="shared" si="1"/>
        <v>13.686306578138886</v>
      </c>
      <c r="E25" s="68">
        <f t="shared" si="2"/>
        <v>23.30371120061486</v>
      </c>
      <c r="F25" s="68">
        <f t="shared" si="3"/>
        <v>34.595941628073298</v>
      </c>
      <c r="G25" s="68">
        <f t="shared" si="4"/>
        <v>46.191284701218741</v>
      </c>
      <c r="H25" s="70">
        <f t="shared" si="5"/>
        <v>56.355380027630709</v>
      </c>
      <c r="N25" s="117"/>
    </row>
    <row r="26" spans="2:15" ht="17">
      <c r="B26" s="79">
        <f t="shared" si="6"/>
        <v>4200</v>
      </c>
      <c r="C26" s="68">
        <f t="shared" si="7"/>
        <v>-13.173070081458679</v>
      </c>
      <c r="D26" s="68">
        <f t="shared" si="1"/>
        <v>14.370621907045832</v>
      </c>
      <c r="E26" s="68">
        <f t="shared" si="2"/>
        <v>24.468896760645606</v>
      </c>
      <c r="F26" s="68">
        <f t="shared" si="3"/>
        <v>36.325738709476965</v>
      </c>
      <c r="G26" s="68">
        <f t="shared" si="4"/>
        <v>48.500848936279688</v>
      </c>
      <c r="H26" s="70">
        <f t="shared" si="5"/>
        <v>59.173149029012251</v>
      </c>
    </row>
    <row r="27" spans="2:15" ht="17">
      <c r="B27" s="79">
        <f t="shared" si="6"/>
        <v>4400</v>
      </c>
      <c r="C27" s="68">
        <f t="shared" si="7"/>
        <v>-13.800359132956711</v>
      </c>
      <c r="D27" s="68">
        <f t="shared" si="1"/>
        <v>15.054937235952776</v>
      </c>
      <c r="E27" s="68">
        <f t="shared" si="2"/>
        <v>25.634082320676349</v>
      </c>
      <c r="F27" s="68">
        <f t="shared" si="3"/>
        <v>38.055535790880626</v>
      </c>
      <c r="G27" s="68">
        <f t="shared" si="4"/>
        <v>50.810413171340628</v>
      </c>
      <c r="H27" s="70">
        <f t="shared" si="5"/>
        <v>61.990918030393786</v>
      </c>
    </row>
    <row r="28" spans="2:15" ht="17">
      <c r="B28" s="79">
        <f t="shared" si="6"/>
        <v>4600</v>
      </c>
      <c r="C28" s="68">
        <f t="shared" si="7"/>
        <v>-14.427648184454743</v>
      </c>
      <c r="D28" s="68">
        <f t="shared" si="1"/>
        <v>15.739252564859717</v>
      </c>
      <c r="E28" s="68">
        <f t="shared" si="2"/>
        <v>26.799267880707092</v>
      </c>
      <c r="F28" s="68">
        <f t="shared" si="3"/>
        <v>39.785332872284293</v>
      </c>
      <c r="G28" s="68">
        <f t="shared" si="4"/>
        <v>53.11997740640156</v>
      </c>
      <c r="H28" s="70">
        <f t="shared" si="5"/>
        <v>64.808687031775321</v>
      </c>
    </row>
    <row r="29" spans="2:15" ht="17">
      <c r="B29" s="79">
        <f t="shared" si="6"/>
        <v>4800</v>
      </c>
      <c r="C29" s="68">
        <f t="shared" si="7"/>
        <v>-15.054937235952774</v>
      </c>
      <c r="D29" s="68">
        <f t="shared" si="1"/>
        <v>16.423567893766663</v>
      </c>
      <c r="E29" s="68">
        <f t="shared" si="2"/>
        <v>27.964453440737838</v>
      </c>
      <c r="F29" s="68">
        <f t="shared" si="3"/>
        <v>41.515129953687961</v>
      </c>
      <c r="G29" s="68">
        <f t="shared" si="4"/>
        <v>55.429541641462507</v>
      </c>
      <c r="H29" s="70">
        <f t="shared" si="5"/>
        <v>67.626456033156856</v>
      </c>
    </row>
    <row r="30" spans="2:15" ht="17">
      <c r="B30" s="79">
        <f t="shared" si="6"/>
        <v>5000</v>
      </c>
      <c r="C30" s="68">
        <f t="shared" si="7"/>
        <v>-15.682226287450804</v>
      </c>
      <c r="D30" s="68">
        <f t="shared" si="1"/>
        <v>17.107883222673607</v>
      </c>
      <c r="E30" s="68">
        <f t="shared" si="2"/>
        <v>29.129639000768581</v>
      </c>
      <c r="F30" s="68">
        <f t="shared" si="3"/>
        <v>43.244927035091621</v>
      </c>
      <c r="G30" s="68">
        <f t="shared" si="4"/>
        <v>57.739105876523439</v>
      </c>
      <c r="H30" s="70">
        <f t="shared" si="5"/>
        <v>70.444225034538391</v>
      </c>
    </row>
    <row r="31" spans="2:15" ht="17">
      <c r="B31" s="79">
        <f t="shared" si="6"/>
        <v>5200</v>
      </c>
      <c r="C31" s="68">
        <f t="shared" si="7"/>
        <v>-16.309515338948838</v>
      </c>
      <c r="D31" s="68">
        <f t="shared" si="1"/>
        <v>17.792198551580555</v>
      </c>
      <c r="E31" s="68">
        <f t="shared" si="2"/>
        <v>30.29482456079932</v>
      </c>
      <c r="F31" s="68">
        <f t="shared" si="3"/>
        <v>44.974724116495288</v>
      </c>
      <c r="G31" s="68">
        <f t="shared" si="4"/>
        <v>60.048670111584379</v>
      </c>
      <c r="H31" s="70">
        <f t="shared" si="5"/>
        <v>73.261994035919926</v>
      </c>
    </row>
    <row r="32" spans="2:15" ht="17">
      <c r="B32" s="79">
        <f t="shared" si="6"/>
        <v>5400</v>
      </c>
      <c r="C32" s="68">
        <f t="shared" si="7"/>
        <v>-16.93680439044687</v>
      </c>
      <c r="D32" s="68">
        <f t="shared" si="1"/>
        <v>18.476513880487499</v>
      </c>
      <c r="E32" s="68">
        <f t="shared" si="2"/>
        <v>31.460010120830063</v>
      </c>
      <c r="F32" s="68">
        <f t="shared" si="3"/>
        <v>46.704521197898956</v>
      </c>
      <c r="G32" s="68">
        <f t="shared" si="4"/>
        <v>62.358234346645311</v>
      </c>
      <c r="H32" s="70">
        <f t="shared" si="5"/>
        <v>76.079763037301475</v>
      </c>
    </row>
    <row r="33" spans="2:8" ht="17">
      <c r="B33" s="79">
        <f t="shared" si="6"/>
        <v>5600</v>
      </c>
      <c r="C33" s="68">
        <f t="shared" si="7"/>
        <v>-17.564093441944902</v>
      </c>
      <c r="D33" s="68">
        <f t="shared" si="1"/>
        <v>19.160829209394443</v>
      </c>
      <c r="E33" s="68">
        <f t="shared" si="2"/>
        <v>32.625195680860806</v>
      </c>
      <c r="F33" s="68">
        <f t="shared" si="3"/>
        <v>48.434318279302616</v>
      </c>
      <c r="G33" s="68">
        <f t="shared" si="4"/>
        <v>64.667798581706251</v>
      </c>
      <c r="H33" s="70">
        <f t="shared" si="5"/>
        <v>78.897532038682996</v>
      </c>
    </row>
    <row r="34" spans="2:8" ht="17">
      <c r="B34" s="79">
        <f t="shared" si="6"/>
        <v>5800</v>
      </c>
      <c r="C34" s="68">
        <f t="shared" si="7"/>
        <v>-18.191382493442937</v>
      </c>
      <c r="D34" s="68">
        <f t="shared" si="1"/>
        <v>19.845144538301387</v>
      </c>
      <c r="E34" s="68">
        <f t="shared" si="2"/>
        <v>33.790381240891548</v>
      </c>
      <c r="F34" s="68">
        <f t="shared" si="3"/>
        <v>50.164115360706283</v>
      </c>
      <c r="G34" s="68">
        <f t="shared" si="4"/>
        <v>66.977362816767197</v>
      </c>
      <c r="H34" s="70">
        <f t="shared" si="5"/>
        <v>81.715301040064531</v>
      </c>
    </row>
    <row r="35" spans="2:8" ht="17">
      <c r="B35" s="79">
        <f t="shared" si="6"/>
        <v>6000</v>
      </c>
      <c r="C35" s="68">
        <f t="shared" si="7"/>
        <v>-18.818671544940969</v>
      </c>
      <c r="D35" s="68">
        <f t="shared" si="1"/>
        <v>20.529459867208331</v>
      </c>
      <c r="E35" s="68">
        <f t="shared" si="2"/>
        <v>34.955566800922291</v>
      </c>
      <c r="F35" s="68">
        <f t="shared" si="3"/>
        <v>51.893912442109944</v>
      </c>
      <c r="G35" s="68">
        <f t="shared" si="4"/>
        <v>69.28692705182813</v>
      </c>
      <c r="H35" s="70">
        <f t="shared" si="5"/>
        <v>84.533070041446081</v>
      </c>
    </row>
    <row r="36" spans="2:8" ht="17">
      <c r="B36" s="79">
        <f t="shared" si="6"/>
        <v>6200</v>
      </c>
      <c r="C36" s="68">
        <f t="shared" si="7"/>
        <v>-19.445960596439001</v>
      </c>
      <c r="D36" s="68">
        <f t="shared" si="1"/>
        <v>21.213775196115275</v>
      </c>
      <c r="E36" s="68">
        <f t="shared" si="2"/>
        <v>36.120752360953041</v>
      </c>
      <c r="F36" s="68">
        <f t="shared" si="3"/>
        <v>53.623709523513618</v>
      </c>
      <c r="G36" s="68">
        <f t="shared" si="4"/>
        <v>71.596491286889062</v>
      </c>
      <c r="H36" s="70">
        <f t="shared" si="5"/>
        <v>87.350839042827616</v>
      </c>
    </row>
    <row r="37" spans="2:8" ht="17">
      <c r="B37" s="79">
        <f t="shared" si="6"/>
        <v>6400</v>
      </c>
      <c r="C37" s="68">
        <f t="shared" si="7"/>
        <v>-20.073249647937033</v>
      </c>
      <c r="D37" s="68">
        <f t="shared" si="1"/>
        <v>21.898090525022219</v>
      </c>
      <c r="E37" s="68">
        <f t="shared" si="2"/>
        <v>37.285937920983784</v>
      </c>
      <c r="F37" s="68">
        <f t="shared" si="3"/>
        <v>55.353506604917285</v>
      </c>
      <c r="G37" s="68">
        <f t="shared" si="4"/>
        <v>73.906055521949995</v>
      </c>
      <c r="H37" s="70">
        <f t="shared" si="5"/>
        <v>90.168608044209137</v>
      </c>
    </row>
    <row r="38" spans="2:8" ht="17">
      <c r="B38" s="79">
        <f t="shared" si="6"/>
        <v>6600</v>
      </c>
      <c r="C38" s="68">
        <f t="shared" si="7"/>
        <v>-20.700538699435064</v>
      </c>
      <c r="D38" s="68">
        <f t="shared" si="1"/>
        <v>22.582405853929163</v>
      </c>
      <c r="E38" s="68">
        <f t="shared" si="2"/>
        <v>38.451123481014527</v>
      </c>
      <c r="F38" s="68">
        <f t="shared" si="3"/>
        <v>57.083303686320946</v>
      </c>
      <c r="G38" s="68">
        <f t="shared" si="4"/>
        <v>76.215619757010927</v>
      </c>
      <c r="H38" s="70">
        <f t="shared" si="5"/>
        <v>92.986377045590686</v>
      </c>
    </row>
    <row r="39" spans="2:8" ht="17">
      <c r="B39" s="79">
        <f t="shared" si="6"/>
        <v>6800</v>
      </c>
      <c r="C39" s="68">
        <f t="shared" si="7"/>
        <v>-21.327827750933096</v>
      </c>
      <c r="D39" s="68">
        <f t="shared" si="1"/>
        <v>23.266721182836104</v>
      </c>
      <c r="E39" s="68">
        <f t="shared" si="2"/>
        <v>39.616309041045263</v>
      </c>
      <c r="F39" s="68">
        <f t="shared" si="3"/>
        <v>58.813100767724606</v>
      </c>
      <c r="G39" s="68">
        <f t="shared" si="4"/>
        <v>78.525183992071874</v>
      </c>
      <c r="H39" s="70">
        <f t="shared" si="5"/>
        <v>95.804146046972207</v>
      </c>
    </row>
    <row r="40" spans="2:8" ht="17">
      <c r="B40" s="79">
        <f t="shared" si="6"/>
        <v>7000</v>
      </c>
      <c r="C40" s="68">
        <f t="shared" si="7"/>
        <v>-21.955116802431128</v>
      </c>
      <c r="D40" s="68">
        <f t="shared" si="1"/>
        <v>23.951036511743048</v>
      </c>
      <c r="E40" s="68">
        <f t="shared" si="2"/>
        <v>40.781494601076005</v>
      </c>
      <c r="F40" s="68">
        <f t="shared" si="3"/>
        <v>60.542897849128273</v>
      </c>
      <c r="G40" s="68">
        <f t="shared" si="4"/>
        <v>80.834748227132806</v>
      </c>
      <c r="H40" s="70">
        <f t="shared" si="5"/>
        <v>98.621915048353742</v>
      </c>
    </row>
    <row r="41" spans="2:8" ht="17">
      <c r="B41" s="79">
        <f t="shared" si="6"/>
        <v>7200</v>
      </c>
      <c r="C41" s="68">
        <f t="shared" si="7"/>
        <v>-22.582405853929163</v>
      </c>
      <c r="D41" s="68">
        <f t="shared" si="1"/>
        <v>24.635351840649999</v>
      </c>
      <c r="E41" s="68">
        <f t="shared" si="2"/>
        <v>41.946680161106755</v>
      </c>
      <c r="F41" s="68">
        <f t="shared" si="3"/>
        <v>62.272694930531948</v>
      </c>
      <c r="G41" s="68">
        <f t="shared" si="4"/>
        <v>83.144312462193753</v>
      </c>
      <c r="H41" s="70">
        <f t="shared" si="5"/>
        <v>101.43968404973529</v>
      </c>
    </row>
    <row r="42" spans="2:8" ht="17">
      <c r="B42" s="79">
        <f t="shared" si="6"/>
        <v>7400</v>
      </c>
      <c r="C42" s="68">
        <f t="shared" si="7"/>
        <v>-23.209694905427195</v>
      </c>
      <c r="D42" s="68">
        <f t="shared" si="1"/>
        <v>25.31966716955694</v>
      </c>
      <c r="E42" s="68">
        <f t="shared" si="2"/>
        <v>43.111865721137498</v>
      </c>
      <c r="F42" s="68">
        <f t="shared" si="3"/>
        <v>64.002492011935601</v>
      </c>
      <c r="G42" s="68">
        <f t="shared" si="4"/>
        <v>85.453876697254685</v>
      </c>
      <c r="H42" s="70">
        <f t="shared" si="5"/>
        <v>104.25745305111683</v>
      </c>
    </row>
    <row r="43" spans="2:8" ht="17">
      <c r="B43" s="79">
        <f t="shared" si="6"/>
        <v>7600</v>
      </c>
      <c r="C43" s="68">
        <f t="shared" si="7"/>
        <v>-23.836983956925227</v>
      </c>
      <c r="D43" s="68">
        <f t="shared" si="1"/>
        <v>26.003982498463884</v>
      </c>
      <c r="E43" s="68">
        <f t="shared" si="2"/>
        <v>44.277051281168241</v>
      </c>
      <c r="F43" s="68">
        <f t="shared" si="3"/>
        <v>65.732289093339276</v>
      </c>
      <c r="G43" s="68">
        <f t="shared" si="4"/>
        <v>87.763440932315618</v>
      </c>
      <c r="H43" s="70">
        <f t="shared" si="5"/>
        <v>107.07522205249836</v>
      </c>
    </row>
    <row r="44" spans="2:8" ht="17">
      <c r="B44" s="79">
        <f t="shared" si="6"/>
        <v>7800</v>
      </c>
      <c r="C44" s="68">
        <f t="shared" si="7"/>
        <v>-24.464273008423259</v>
      </c>
      <c r="D44" s="68">
        <f t="shared" si="1"/>
        <v>26.688297827370828</v>
      </c>
      <c r="E44" s="68">
        <f t="shared" si="2"/>
        <v>45.442236841198977</v>
      </c>
      <c r="F44" s="68">
        <f t="shared" si="3"/>
        <v>67.462086174742936</v>
      </c>
      <c r="G44" s="68">
        <f t="shared" si="4"/>
        <v>90.07300516737655</v>
      </c>
      <c r="H44" s="70">
        <f t="shared" si="5"/>
        <v>109.89299105387988</v>
      </c>
    </row>
    <row r="45" spans="2:8" ht="17">
      <c r="B45" s="79">
        <f t="shared" si="6"/>
        <v>8000</v>
      </c>
      <c r="C45" s="68">
        <f t="shared" si="7"/>
        <v>-25.091562059921291</v>
      </c>
      <c r="D45" s="68">
        <f t="shared" si="1"/>
        <v>27.372613156277772</v>
      </c>
      <c r="E45" s="68">
        <f t="shared" si="2"/>
        <v>46.607422401229719</v>
      </c>
      <c r="F45" s="68">
        <f t="shared" si="3"/>
        <v>69.191883256146596</v>
      </c>
      <c r="G45" s="68">
        <f t="shared" si="4"/>
        <v>92.382569402437483</v>
      </c>
      <c r="H45" s="70">
        <f t="shared" si="5"/>
        <v>112.71076005526142</v>
      </c>
    </row>
    <row r="46" spans="2:8" ht="17">
      <c r="B46" s="79">
        <f t="shared" si="6"/>
        <v>8200</v>
      </c>
      <c r="C46" s="68">
        <f t="shared" si="7"/>
        <v>-25.718851111419326</v>
      </c>
      <c r="D46" s="68">
        <f t="shared" si="1"/>
        <v>28.05692848518472</v>
      </c>
      <c r="E46" s="68">
        <f t="shared" si="2"/>
        <v>47.772607961260476</v>
      </c>
      <c r="F46" s="68">
        <f t="shared" si="3"/>
        <v>70.921680337550271</v>
      </c>
      <c r="G46" s="68">
        <f t="shared" si="4"/>
        <v>94.692133637498443</v>
      </c>
      <c r="H46" s="70">
        <f t="shared" si="5"/>
        <v>115.52852905664298</v>
      </c>
    </row>
    <row r="47" spans="2:8" ht="17">
      <c r="B47" s="79">
        <f t="shared" si="6"/>
        <v>8400</v>
      </c>
      <c r="C47" s="68">
        <f t="shared" si="7"/>
        <v>-26.346140162917358</v>
      </c>
      <c r="D47" s="68">
        <f t="shared" si="1"/>
        <v>28.741243814091664</v>
      </c>
      <c r="E47" s="68">
        <f t="shared" si="2"/>
        <v>48.937793521291212</v>
      </c>
      <c r="F47" s="68">
        <f t="shared" si="3"/>
        <v>72.651477418953931</v>
      </c>
      <c r="G47" s="68">
        <f t="shared" si="4"/>
        <v>97.001697872559376</v>
      </c>
      <c r="H47" s="70">
        <f t="shared" si="5"/>
        <v>118.3462980580245</v>
      </c>
    </row>
    <row r="48" spans="2:8" ht="17">
      <c r="B48" s="79">
        <f t="shared" si="6"/>
        <v>8600</v>
      </c>
      <c r="C48" s="68">
        <f t="shared" si="7"/>
        <v>-26.973429214415386</v>
      </c>
      <c r="D48" s="68">
        <f t="shared" si="1"/>
        <v>29.425559142998608</v>
      </c>
      <c r="E48" s="68">
        <f t="shared" si="2"/>
        <v>50.102979081321948</v>
      </c>
      <c r="F48" s="68">
        <f t="shared" si="3"/>
        <v>74.381274500357591</v>
      </c>
      <c r="G48" s="68">
        <f t="shared" si="4"/>
        <v>99.311262107620308</v>
      </c>
      <c r="H48" s="70">
        <f t="shared" si="5"/>
        <v>121.16406705940604</v>
      </c>
    </row>
    <row r="49" spans="2:9" ht="17">
      <c r="B49" s="79">
        <f t="shared" si="6"/>
        <v>8800</v>
      </c>
      <c r="C49" s="68">
        <f t="shared" si="7"/>
        <v>-27.600718265913422</v>
      </c>
      <c r="D49" s="68">
        <f t="shared" si="1"/>
        <v>30.109874471905552</v>
      </c>
      <c r="E49" s="68">
        <f t="shared" si="2"/>
        <v>51.268164641352698</v>
      </c>
      <c r="F49" s="68">
        <f t="shared" si="3"/>
        <v>76.111071581761252</v>
      </c>
      <c r="G49" s="68">
        <f t="shared" si="4"/>
        <v>101.62082634268126</v>
      </c>
      <c r="H49" s="70">
        <f t="shared" si="5"/>
        <v>123.98183606078757</v>
      </c>
    </row>
    <row r="50" spans="2:9" ht="17">
      <c r="B50" s="79">
        <f t="shared" si="6"/>
        <v>9000</v>
      </c>
      <c r="C50" s="68">
        <f t="shared" si="7"/>
        <v>-28.22800731741145</v>
      </c>
      <c r="D50" s="68">
        <f t="shared" si="1"/>
        <v>30.794189800812493</v>
      </c>
      <c r="E50" s="68">
        <f t="shared" si="2"/>
        <v>52.433350201383433</v>
      </c>
      <c r="F50" s="68">
        <f t="shared" si="3"/>
        <v>77.840868663164926</v>
      </c>
      <c r="G50" s="68">
        <f t="shared" si="4"/>
        <v>103.93039057774217</v>
      </c>
      <c r="H50" s="70">
        <f t="shared" si="5"/>
        <v>126.79960506216909</v>
      </c>
    </row>
    <row r="51" spans="2:9" ht="17">
      <c r="B51" s="79">
        <f t="shared" si="6"/>
        <v>9200</v>
      </c>
      <c r="C51" s="68">
        <f t="shared" si="7"/>
        <v>-28.855296368909485</v>
      </c>
      <c r="D51" s="68">
        <f t="shared" si="1"/>
        <v>31.478505129719434</v>
      </c>
      <c r="E51" s="68">
        <f t="shared" si="2"/>
        <v>53.598535761414183</v>
      </c>
      <c r="F51" s="68">
        <f t="shared" si="3"/>
        <v>79.570665744568586</v>
      </c>
      <c r="G51" s="68">
        <f t="shared" si="4"/>
        <v>106.23995481280312</v>
      </c>
      <c r="H51" s="70">
        <f t="shared" si="5"/>
        <v>129.61737406355064</v>
      </c>
    </row>
    <row r="52" spans="2:9" ht="17">
      <c r="B52" s="79">
        <f t="shared" si="6"/>
        <v>9400</v>
      </c>
      <c r="C52" s="68">
        <f t="shared" si="7"/>
        <v>-29.482585420407521</v>
      </c>
      <c r="D52" s="68">
        <f t="shared" si="1"/>
        <v>32.162820458626385</v>
      </c>
      <c r="E52" s="68">
        <f t="shared" si="2"/>
        <v>54.763721321444926</v>
      </c>
      <c r="F52" s="68">
        <f t="shared" si="3"/>
        <v>81.300462825972261</v>
      </c>
      <c r="G52" s="68">
        <f t="shared" si="4"/>
        <v>108.54951904786407</v>
      </c>
      <c r="H52" s="70">
        <f t="shared" si="5"/>
        <v>132.43514306493219</v>
      </c>
    </row>
    <row r="53" spans="2:9" ht="17">
      <c r="B53" s="79">
        <f t="shared" si="6"/>
        <v>9600</v>
      </c>
      <c r="C53" s="68">
        <f t="shared" si="7"/>
        <v>-30.109874471905549</v>
      </c>
      <c r="D53" s="68">
        <f t="shared" si="1"/>
        <v>32.847135787533325</v>
      </c>
      <c r="E53" s="68">
        <f t="shared" si="2"/>
        <v>55.928906881475676</v>
      </c>
      <c r="F53" s="68">
        <f t="shared" si="3"/>
        <v>83.030259907375921</v>
      </c>
      <c r="G53" s="68">
        <f t="shared" si="4"/>
        <v>110.85908328292501</v>
      </c>
      <c r="H53" s="70">
        <f t="shared" si="5"/>
        <v>135.25291206631371</v>
      </c>
    </row>
    <row r="54" spans="2:9" ht="17">
      <c r="B54" s="80">
        <f t="shared" si="6"/>
        <v>9800</v>
      </c>
      <c r="C54" s="71">
        <f t="shared" si="7"/>
        <v>-30.737163523403581</v>
      </c>
      <c r="D54" s="71">
        <f t="shared" si="1"/>
        <v>33.531451116440273</v>
      </c>
      <c r="E54" s="71">
        <f t="shared" si="2"/>
        <v>57.094092441506412</v>
      </c>
      <c r="F54" s="71">
        <f t="shared" si="3"/>
        <v>84.760056988779581</v>
      </c>
      <c r="G54" s="71">
        <f t="shared" si="4"/>
        <v>113.16864751798593</v>
      </c>
      <c r="H54" s="72">
        <f t="shared" si="5"/>
        <v>138.07068106769523</v>
      </c>
    </row>
    <row r="55" spans="2:9" ht="15">
      <c r="B55" s="441" t="s">
        <v>694</v>
      </c>
      <c r="C55" s="104" t="s">
        <v>695</v>
      </c>
      <c r="D55" s="104" t="s">
        <v>695</v>
      </c>
      <c r="E55" s="104" t="s">
        <v>695</v>
      </c>
      <c r="F55" s="104" t="s">
        <v>695</v>
      </c>
      <c r="G55" s="104" t="s">
        <v>695</v>
      </c>
      <c r="H55" s="104" t="s">
        <v>695</v>
      </c>
      <c r="I55" s="442" t="s">
        <v>696</v>
      </c>
    </row>
    <row r="56" spans="2:9" ht="17" customHeight="1">
      <c r="B56" s="112">
        <f t="shared" ref="B56:B80" si="8">$J$16*$J$17*5280*H56/60/$I$14</f>
        <v>2129.3441715975423</v>
      </c>
      <c r="C56" s="77">
        <f t="shared" ref="C56:C80" si="9">60*$I$14*B56/$C$9/$E$6</f>
        <v>-6.6785714285714279</v>
      </c>
      <c r="D56" s="77">
        <f t="shared" ref="D56:D80" si="10">60*$I$14*B56/$D$9/$E$6</f>
        <v>7.2857142857142856</v>
      </c>
      <c r="E56" s="77">
        <f t="shared" ref="E56:E80" si="11">60*$I$14*B56/$E$9/$E$6</f>
        <v>12.405405405405405</v>
      </c>
      <c r="F56" s="77">
        <f t="shared" ref="F56:F80" si="12">60*$I$14*B56/$F$9/$E$6</f>
        <v>18.416666666666668</v>
      </c>
      <c r="G56" s="77">
        <f t="shared" ref="G56:G80" si="13">60*$I$14*B56/$G$9/$E$6</f>
        <v>24.589285714285712</v>
      </c>
      <c r="H56" s="451">
        <v>30</v>
      </c>
      <c r="I56" s="443">
        <f>5280*H56/$I$14/60</f>
        <v>459.27031152103859</v>
      </c>
    </row>
    <row r="57" spans="2:9" ht="17">
      <c r="B57" s="113">
        <f t="shared" si="8"/>
        <v>2484.2348668637992</v>
      </c>
      <c r="C57" s="68">
        <f t="shared" si="9"/>
        <v>-7.7916666666666652</v>
      </c>
      <c r="D57" s="68">
        <f t="shared" si="10"/>
        <v>8.4999999999999982</v>
      </c>
      <c r="E57" s="68">
        <f t="shared" si="11"/>
        <v>14.472972972972972</v>
      </c>
      <c r="F57" s="68">
        <f t="shared" si="12"/>
        <v>21.486111111111111</v>
      </c>
      <c r="G57" s="68">
        <f t="shared" si="13"/>
        <v>28.6875</v>
      </c>
      <c r="H57" s="444">
        <f t="shared" ref="H57:H67" si="14">H56+5</f>
        <v>35</v>
      </c>
      <c r="I57" s="443">
        <f t="shared" ref="I57:I80" si="15">5280*H57/$I$14/60</f>
        <v>535.81536344121162</v>
      </c>
    </row>
    <row r="58" spans="2:9" ht="17">
      <c r="B58" s="113">
        <f t="shared" si="8"/>
        <v>2839.1255621300561</v>
      </c>
      <c r="C58" s="68">
        <f t="shared" si="9"/>
        <v>-8.9047619047619033</v>
      </c>
      <c r="D58" s="68">
        <f t="shared" si="10"/>
        <v>9.7142857142857135</v>
      </c>
      <c r="E58" s="68">
        <f t="shared" si="11"/>
        <v>16.540540540540537</v>
      </c>
      <c r="F58" s="68">
        <f t="shared" si="12"/>
        <v>24.555555555555554</v>
      </c>
      <c r="G58" s="68">
        <f t="shared" si="13"/>
        <v>32.785714285714285</v>
      </c>
      <c r="H58" s="444">
        <f t="shared" si="14"/>
        <v>40</v>
      </c>
      <c r="I58" s="443">
        <f t="shared" si="15"/>
        <v>612.36041536138475</v>
      </c>
    </row>
    <row r="59" spans="2:9" ht="17">
      <c r="B59" s="113">
        <f t="shared" si="8"/>
        <v>3194.016257396313</v>
      </c>
      <c r="C59" s="68">
        <f t="shared" si="9"/>
        <v>-10.017857142857141</v>
      </c>
      <c r="D59" s="68">
        <f t="shared" si="10"/>
        <v>10.928571428571427</v>
      </c>
      <c r="E59" s="68">
        <f t="shared" si="11"/>
        <v>18.608108108108105</v>
      </c>
      <c r="F59" s="68">
        <f t="shared" si="12"/>
        <v>27.624999999999993</v>
      </c>
      <c r="G59" s="68">
        <f t="shared" si="13"/>
        <v>36.883928571428569</v>
      </c>
      <c r="H59" s="444">
        <f t="shared" si="14"/>
        <v>45</v>
      </c>
      <c r="I59" s="443">
        <f t="shared" si="15"/>
        <v>688.90546728155789</v>
      </c>
    </row>
    <row r="60" spans="2:9" ht="17">
      <c r="B60" s="113">
        <f t="shared" si="8"/>
        <v>3548.9069526625699</v>
      </c>
      <c r="C60" s="68">
        <f t="shared" si="9"/>
        <v>-11.130952380952378</v>
      </c>
      <c r="D60" s="68">
        <f t="shared" si="10"/>
        <v>12.142857142857141</v>
      </c>
      <c r="E60" s="68">
        <f t="shared" si="11"/>
        <v>20.675675675675674</v>
      </c>
      <c r="F60" s="68">
        <f t="shared" si="12"/>
        <v>30.694444444444443</v>
      </c>
      <c r="G60" s="68">
        <f t="shared" si="13"/>
        <v>40.982142857142861</v>
      </c>
      <c r="H60" s="444">
        <f t="shared" si="14"/>
        <v>50</v>
      </c>
      <c r="I60" s="443">
        <f t="shared" si="15"/>
        <v>765.45051920173091</v>
      </c>
    </row>
    <row r="61" spans="2:9" ht="17">
      <c r="B61" s="113">
        <f t="shared" si="8"/>
        <v>3903.7976479288272</v>
      </c>
      <c r="C61" s="68">
        <f t="shared" si="9"/>
        <v>-12.244047619047617</v>
      </c>
      <c r="D61" s="68">
        <f t="shared" si="10"/>
        <v>13.357142857142856</v>
      </c>
      <c r="E61" s="68">
        <f t="shared" si="11"/>
        <v>22.743243243243242</v>
      </c>
      <c r="F61" s="68">
        <f t="shared" si="12"/>
        <v>33.763888888888886</v>
      </c>
      <c r="G61" s="68">
        <f t="shared" si="13"/>
        <v>45.080357142857139</v>
      </c>
      <c r="H61" s="444">
        <f t="shared" si="14"/>
        <v>55</v>
      </c>
      <c r="I61" s="443">
        <f t="shared" si="15"/>
        <v>841.99557112190405</v>
      </c>
    </row>
    <row r="62" spans="2:9" ht="17">
      <c r="B62" s="113">
        <f t="shared" si="8"/>
        <v>4258.6883431950846</v>
      </c>
      <c r="C62" s="68">
        <f t="shared" si="9"/>
        <v>-13.357142857142856</v>
      </c>
      <c r="D62" s="68">
        <f t="shared" si="10"/>
        <v>14.571428571428571</v>
      </c>
      <c r="E62" s="68">
        <f t="shared" si="11"/>
        <v>24.810810810810811</v>
      </c>
      <c r="F62" s="68">
        <f t="shared" si="12"/>
        <v>36.833333333333336</v>
      </c>
      <c r="G62" s="68">
        <f t="shared" si="13"/>
        <v>49.178571428571423</v>
      </c>
      <c r="H62" s="444">
        <f t="shared" si="14"/>
        <v>60</v>
      </c>
      <c r="I62" s="443">
        <f t="shared" si="15"/>
        <v>918.54062304207719</v>
      </c>
    </row>
    <row r="63" spans="2:9" ht="17">
      <c r="B63" s="113">
        <f t="shared" si="8"/>
        <v>4613.579038461341</v>
      </c>
      <c r="C63" s="68">
        <f t="shared" si="9"/>
        <v>-14.47023809523809</v>
      </c>
      <c r="D63" s="68">
        <f t="shared" si="10"/>
        <v>15.785714285714281</v>
      </c>
      <c r="E63" s="68">
        <f t="shared" si="11"/>
        <v>26.878378378378372</v>
      </c>
      <c r="F63" s="68">
        <f t="shared" si="12"/>
        <v>39.902777777777771</v>
      </c>
      <c r="G63" s="68">
        <f t="shared" si="13"/>
        <v>53.276785714285708</v>
      </c>
      <c r="H63" s="444">
        <f t="shared" si="14"/>
        <v>65</v>
      </c>
      <c r="I63" s="443">
        <f t="shared" si="15"/>
        <v>995.08567496225021</v>
      </c>
    </row>
    <row r="64" spans="2:9" ht="17">
      <c r="B64" s="113">
        <f t="shared" si="8"/>
        <v>4968.4697337275984</v>
      </c>
      <c r="C64" s="68">
        <f t="shared" si="9"/>
        <v>-15.58333333333333</v>
      </c>
      <c r="D64" s="68">
        <f t="shared" si="10"/>
        <v>16.999999999999996</v>
      </c>
      <c r="E64" s="68">
        <f t="shared" si="11"/>
        <v>28.945945945945944</v>
      </c>
      <c r="F64" s="68">
        <f t="shared" si="12"/>
        <v>42.972222222222221</v>
      </c>
      <c r="G64" s="68">
        <f t="shared" si="13"/>
        <v>57.375</v>
      </c>
      <c r="H64" s="444">
        <f t="shared" si="14"/>
        <v>70</v>
      </c>
      <c r="I64" s="443">
        <f t="shared" si="15"/>
        <v>1071.6307268824232</v>
      </c>
    </row>
    <row r="65" spans="2:9" ht="17">
      <c r="B65" s="113">
        <f t="shared" si="8"/>
        <v>5323.3604289938557</v>
      </c>
      <c r="C65" s="68">
        <f t="shared" si="9"/>
        <v>-16.696428571428569</v>
      </c>
      <c r="D65" s="68">
        <f t="shared" si="10"/>
        <v>18.214285714285712</v>
      </c>
      <c r="E65" s="68">
        <f t="shared" si="11"/>
        <v>31.013513513513516</v>
      </c>
      <c r="F65" s="68">
        <f t="shared" si="12"/>
        <v>46.041666666666664</v>
      </c>
      <c r="G65" s="68">
        <f t="shared" si="13"/>
        <v>61.473214285714285</v>
      </c>
      <c r="H65" s="444">
        <f t="shared" si="14"/>
        <v>75</v>
      </c>
      <c r="I65" s="443">
        <f t="shared" si="15"/>
        <v>1148.1757788025964</v>
      </c>
    </row>
    <row r="66" spans="2:9" ht="17">
      <c r="B66" s="113">
        <f t="shared" si="8"/>
        <v>5678.2511242601122</v>
      </c>
      <c r="C66" s="68">
        <f t="shared" si="9"/>
        <v>-17.809523809523807</v>
      </c>
      <c r="D66" s="68">
        <f t="shared" si="10"/>
        <v>19.428571428571427</v>
      </c>
      <c r="E66" s="68">
        <f t="shared" si="11"/>
        <v>33.081081081081074</v>
      </c>
      <c r="F66" s="68">
        <f t="shared" si="12"/>
        <v>49.111111111111107</v>
      </c>
      <c r="G66" s="68">
        <f t="shared" si="13"/>
        <v>65.571428571428569</v>
      </c>
      <c r="H66" s="444">
        <f t="shared" si="14"/>
        <v>80</v>
      </c>
      <c r="I66" s="443">
        <f t="shared" si="15"/>
        <v>1224.7208307227695</v>
      </c>
    </row>
    <row r="67" spans="2:9" ht="17">
      <c r="B67" s="113">
        <f t="shared" si="8"/>
        <v>6033.1418195263686</v>
      </c>
      <c r="C67" s="68">
        <f t="shared" si="9"/>
        <v>-18.92261904761904</v>
      </c>
      <c r="D67" s="68">
        <f t="shared" si="10"/>
        <v>20.642857142857135</v>
      </c>
      <c r="E67" s="68">
        <f t="shared" si="11"/>
        <v>35.148648648648638</v>
      </c>
      <c r="F67" s="68">
        <f t="shared" si="12"/>
        <v>52.180555555555543</v>
      </c>
      <c r="G67" s="68">
        <f t="shared" si="13"/>
        <v>69.669642857142847</v>
      </c>
      <c r="H67" s="444">
        <f t="shared" si="14"/>
        <v>85</v>
      </c>
      <c r="I67" s="443">
        <f t="shared" si="15"/>
        <v>1301.2658826429426</v>
      </c>
    </row>
    <row r="68" spans="2:9" ht="17">
      <c r="B68" s="113">
        <f t="shared" si="8"/>
        <v>6388.032514792626</v>
      </c>
      <c r="C68" s="68">
        <f t="shared" si="9"/>
        <v>-20.035714285714281</v>
      </c>
      <c r="D68" s="68">
        <f t="shared" si="10"/>
        <v>21.857142857142854</v>
      </c>
      <c r="E68" s="68">
        <f t="shared" si="11"/>
        <v>37.21621621621621</v>
      </c>
      <c r="F68" s="68">
        <f t="shared" si="12"/>
        <v>55.249999999999986</v>
      </c>
      <c r="G68" s="68">
        <f t="shared" si="13"/>
        <v>73.767857142857139</v>
      </c>
      <c r="H68" s="444">
        <f t="shared" ref="H68:H80" si="16">H67+5</f>
        <v>90</v>
      </c>
      <c r="I68" s="443">
        <f t="shared" si="15"/>
        <v>1377.8109345631158</v>
      </c>
    </row>
    <row r="69" spans="2:9" ht="17">
      <c r="B69" s="113">
        <f t="shared" si="8"/>
        <v>6742.9232100588833</v>
      </c>
      <c r="C69" s="68">
        <f t="shared" si="9"/>
        <v>-21.148809523809518</v>
      </c>
      <c r="D69" s="68">
        <f t="shared" si="10"/>
        <v>23.071428571428569</v>
      </c>
      <c r="E69" s="68">
        <f t="shared" si="11"/>
        <v>39.283783783783775</v>
      </c>
      <c r="F69" s="68">
        <f t="shared" si="12"/>
        <v>58.319444444444436</v>
      </c>
      <c r="G69" s="68">
        <f t="shared" si="13"/>
        <v>77.866071428571416</v>
      </c>
      <c r="H69" s="444">
        <f t="shared" si="16"/>
        <v>95</v>
      </c>
      <c r="I69" s="443">
        <f t="shared" si="15"/>
        <v>1454.3559864832889</v>
      </c>
    </row>
    <row r="70" spans="2:9" ht="17">
      <c r="B70" s="113">
        <f t="shared" si="8"/>
        <v>7097.8139053251398</v>
      </c>
      <c r="C70" s="68">
        <f t="shared" si="9"/>
        <v>-22.261904761904756</v>
      </c>
      <c r="D70" s="68">
        <f t="shared" si="10"/>
        <v>24.285714285714281</v>
      </c>
      <c r="E70" s="68">
        <f t="shared" si="11"/>
        <v>41.351351351351347</v>
      </c>
      <c r="F70" s="68">
        <f t="shared" si="12"/>
        <v>61.388888888888886</v>
      </c>
      <c r="G70" s="68">
        <f t="shared" si="13"/>
        <v>81.964285714285722</v>
      </c>
      <c r="H70" s="444">
        <f t="shared" si="16"/>
        <v>100</v>
      </c>
      <c r="I70" s="443">
        <f t="shared" si="15"/>
        <v>1530.9010384034618</v>
      </c>
    </row>
    <row r="71" spans="2:9" ht="17">
      <c r="B71" s="113">
        <f t="shared" si="8"/>
        <v>7452.7046005913971</v>
      </c>
      <c r="C71" s="68">
        <f t="shared" si="9"/>
        <v>-23.374999999999993</v>
      </c>
      <c r="D71" s="68">
        <f t="shared" si="10"/>
        <v>25.499999999999993</v>
      </c>
      <c r="E71" s="68">
        <f t="shared" si="11"/>
        <v>43.418918918918912</v>
      </c>
      <c r="F71" s="68">
        <f t="shared" si="12"/>
        <v>64.458333333333329</v>
      </c>
      <c r="G71" s="68">
        <f t="shared" si="13"/>
        <v>86.0625</v>
      </c>
      <c r="H71" s="444">
        <f t="shared" si="16"/>
        <v>105</v>
      </c>
      <c r="I71" s="443">
        <f t="shared" si="15"/>
        <v>1607.446090323635</v>
      </c>
    </row>
    <row r="72" spans="2:9" ht="17">
      <c r="B72" s="113">
        <f t="shared" si="8"/>
        <v>7807.5952958576545</v>
      </c>
      <c r="C72" s="68">
        <f t="shared" si="9"/>
        <v>-24.488095238095234</v>
      </c>
      <c r="D72" s="68">
        <f t="shared" si="10"/>
        <v>26.714285714285712</v>
      </c>
      <c r="E72" s="68">
        <f t="shared" si="11"/>
        <v>45.486486486486484</v>
      </c>
      <c r="F72" s="68">
        <f t="shared" si="12"/>
        <v>67.527777777777771</v>
      </c>
      <c r="G72" s="68">
        <f t="shared" si="13"/>
        <v>90.160714285714278</v>
      </c>
      <c r="H72" s="444">
        <f t="shared" si="16"/>
        <v>110</v>
      </c>
      <c r="I72" s="443">
        <f t="shared" si="15"/>
        <v>1683.9911422438081</v>
      </c>
    </row>
    <row r="73" spans="2:9" ht="17">
      <c r="B73" s="113">
        <f t="shared" si="8"/>
        <v>8162.4859911239118</v>
      </c>
      <c r="C73" s="68">
        <f t="shared" si="9"/>
        <v>-25.601190476190471</v>
      </c>
      <c r="D73" s="68">
        <f t="shared" si="10"/>
        <v>27.928571428571427</v>
      </c>
      <c r="E73" s="68">
        <f t="shared" si="11"/>
        <v>47.554054054054049</v>
      </c>
      <c r="F73" s="68">
        <f t="shared" si="12"/>
        <v>70.597222222222214</v>
      </c>
      <c r="G73" s="68">
        <f t="shared" si="13"/>
        <v>94.258928571428569</v>
      </c>
      <c r="H73" s="444">
        <f t="shared" si="16"/>
        <v>115</v>
      </c>
      <c r="I73" s="443">
        <f t="shared" si="15"/>
        <v>1760.5361941639812</v>
      </c>
    </row>
    <row r="74" spans="2:9" ht="17">
      <c r="B74" s="113">
        <f t="shared" si="8"/>
        <v>8517.3766863901692</v>
      </c>
      <c r="C74" s="68">
        <f t="shared" si="9"/>
        <v>-26.714285714285712</v>
      </c>
      <c r="D74" s="68">
        <f t="shared" si="10"/>
        <v>29.142857142857142</v>
      </c>
      <c r="E74" s="68">
        <f t="shared" si="11"/>
        <v>49.621621621621621</v>
      </c>
      <c r="F74" s="68">
        <f t="shared" si="12"/>
        <v>73.666666666666671</v>
      </c>
      <c r="G74" s="68">
        <f t="shared" si="13"/>
        <v>98.357142857142847</v>
      </c>
      <c r="H74" s="444">
        <f t="shared" si="16"/>
        <v>120</v>
      </c>
      <c r="I74" s="443">
        <f t="shared" si="15"/>
        <v>1837.0812460841544</v>
      </c>
    </row>
    <row r="75" spans="2:9" ht="17">
      <c r="B75" s="113">
        <f t="shared" si="8"/>
        <v>8872.2673816564256</v>
      </c>
      <c r="C75" s="68">
        <f t="shared" si="9"/>
        <v>-27.827380952380953</v>
      </c>
      <c r="D75" s="68">
        <f t="shared" si="10"/>
        <v>30.357142857142854</v>
      </c>
      <c r="E75" s="68">
        <f t="shared" si="11"/>
        <v>51.689189189189179</v>
      </c>
      <c r="F75" s="68">
        <f t="shared" si="12"/>
        <v>76.7361111111111</v>
      </c>
      <c r="G75" s="68">
        <f t="shared" si="13"/>
        <v>102.45535714285714</v>
      </c>
      <c r="H75" s="444">
        <f t="shared" si="16"/>
        <v>125</v>
      </c>
      <c r="I75" s="443">
        <f t="shared" si="15"/>
        <v>1913.6262980043275</v>
      </c>
    </row>
    <row r="76" spans="2:9" ht="17">
      <c r="B76" s="113">
        <f t="shared" si="8"/>
        <v>9227.1580769226821</v>
      </c>
      <c r="C76" s="68">
        <f t="shared" si="9"/>
        <v>-28.940476190476179</v>
      </c>
      <c r="D76" s="68">
        <f t="shared" si="10"/>
        <v>31.571428571428562</v>
      </c>
      <c r="E76" s="68">
        <f t="shared" si="11"/>
        <v>53.756756756756744</v>
      </c>
      <c r="F76" s="68">
        <f t="shared" si="12"/>
        <v>79.805555555555543</v>
      </c>
      <c r="G76" s="68">
        <f t="shared" si="13"/>
        <v>106.55357142857142</v>
      </c>
      <c r="H76" s="444">
        <f t="shared" si="16"/>
        <v>130</v>
      </c>
      <c r="I76" s="443">
        <f t="shared" si="15"/>
        <v>1990.1713499245004</v>
      </c>
    </row>
    <row r="77" spans="2:9" ht="17">
      <c r="B77" s="113">
        <f t="shared" si="8"/>
        <v>9582.0487721889403</v>
      </c>
      <c r="C77" s="68">
        <f t="shared" si="9"/>
        <v>-30.053571428571427</v>
      </c>
      <c r="D77" s="68">
        <f t="shared" si="10"/>
        <v>32.785714285714285</v>
      </c>
      <c r="E77" s="68">
        <f t="shared" si="11"/>
        <v>55.824324324324323</v>
      </c>
      <c r="F77" s="68">
        <f t="shared" si="12"/>
        <v>82.875</v>
      </c>
      <c r="G77" s="68">
        <f t="shared" si="13"/>
        <v>110.65178571428572</v>
      </c>
      <c r="H77" s="444">
        <f t="shared" si="16"/>
        <v>135</v>
      </c>
      <c r="I77" s="443">
        <f t="shared" si="15"/>
        <v>2066.7164018446733</v>
      </c>
    </row>
    <row r="78" spans="2:9" ht="17">
      <c r="B78" s="113">
        <f t="shared" si="8"/>
        <v>9936.9394674551968</v>
      </c>
      <c r="C78" s="68">
        <f t="shared" si="9"/>
        <v>-31.166666666666661</v>
      </c>
      <c r="D78" s="68">
        <f t="shared" si="10"/>
        <v>33.999999999999993</v>
      </c>
      <c r="E78" s="68">
        <f t="shared" si="11"/>
        <v>57.891891891891888</v>
      </c>
      <c r="F78" s="68">
        <f t="shared" si="12"/>
        <v>85.944444444444443</v>
      </c>
      <c r="G78" s="68">
        <f t="shared" si="13"/>
        <v>114.75</v>
      </c>
      <c r="H78" s="444">
        <f t="shared" si="16"/>
        <v>140</v>
      </c>
      <c r="I78" s="443">
        <f t="shared" si="15"/>
        <v>2143.2614537648465</v>
      </c>
    </row>
    <row r="79" spans="2:9" ht="17">
      <c r="B79" s="113">
        <f t="shared" si="8"/>
        <v>10291.830162721453</v>
      </c>
      <c r="C79" s="68">
        <f t="shared" si="9"/>
        <v>-32.279761904761898</v>
      </c>
      <c r="D79" s="68">
        <f t="shared" si="10"/>
        <v>35.214285714285708</v>
      </c>
      <c r="E79" s="68">
        <f t="shared" si="11"/>
        <v>59.959459459459453</v>
      </c>
      <c r="F79" s="68">
        <f t="shared" si="12"/>
        <v>89.013888888888872</v>
      </c>
      <c r="G79" s="68">
        <f t="shared" si="13"/>
        <v>118.84821428571428</v>
      </c>
      <c r="H79" s="444">
        <f t="shared" si="16"/>
        <v>145</v>
      </c>
      <c r="I79" s="443">
        <f t="shared" si="15"/>
        <v>2219.8065056850196</v>
      </c>
    </row>
    <row r="80" spans="2:9" ht="17">
      <c r="B80" s="447">
        <f t="shared" si="8"/>
        <v>10646.720857987711</v>
      </c>
      <c r="C80" s="448">
        <f t="shared" si="9"/>
        <v>-33.392857142857139</v>
      </c>
      <c r="D80" s="448">
        <f t="shared" si="10"/>
        <v>36.428571428571423</v>
      </c>
      <c r="E80" s="448">
        <f t="shared" si="11"/>
        <v>62.027027027027032</v>
      </c>
      <c r="F80" s="448">
        <f t="shared" si="12"/>
        <v>92.083333333333329</v>
      </c>
      <c r="G80" s="448">
        <f t="shared" si="13"/>
        <v>122.94642857142857</v>
      </c>
      <c r="H80" s="449">
        <f t="shared" si="16"/>
        <v>150</v>
      </c>
      <c r="I80" s="450">
        <f t="shared" si="15"/>
        <v>2296.3515576051927</v>
      </c>
    </row>
    <row r="81" spans="10:10" ht="18">
      <c r="J81" s="252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2026-01-31T21:59:12Z</dcterms:modified>
  <cp:category/>
</cp:coreProperties>
</file>