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-60" yWindow="0" windowWidth="25520" windowHeight="15540"/>
  </bookViews>
  <sheets>
    <sheet name="Displacement &amp; Cam Protractor" sheetId="3" r:id="rId1"/>
    <sheet name="Airflow &amp; Carburation" sheetId="6" r:id="rId2"/>
    <sheet name="Intake Horn &amp; Runner" sheetId="7" r:id="rId3"/>
    <sheet name="Camshafts" sheetId="5" r:id="rId4"/>
    <sheet name="Tires, Trans, RPM, MPH" sheetId="4" r:id="rId5"/>
  </sheets>
  <externalReferences>
    <externalReference r:id="rId6"/>
    <externalReference r:id="rId7"/>
  </externalReferences>
  <definedNames>
    <definedName name="_xlnm.Print_Area" localSheetId="0">#REF!</definedName>
    <definedName name="_xlnm.Sheet_Title" localSheetId="0">"Displacement &amp; Cam Graph"</definedName>
  </definedNames>
  <calcPr calcId="140001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4" i="3" l="1"/>
  <c r="E100" i="3"/>
  <c r="C90" i="3"/>
  <c r="D70" i="3"/>
  <c r="B70" i="3"/>
  <c r="D66" i="3"/>
  <c r="B66" i="3"/>
  <c r="B10" i="7"/>
  <c r="E10" i="7"/>
  <c r="D82" i="3"/>
  <c r="D83" i="3"/>
  <c r="G26" i="6"/>
  <c r="K4" i="7"/>
  <c r="B6" i="7"/>
  <c r="E12" i="7"/>
  <c r="E13" i="7"/>
  <c r="F13" i="7"/>
  <c r="G13" i="7"/>
  <c r="A13" i="7"/>
  <c r="E14" i="7"/>
  <c r="F14" i="7"/>
  <c r="G14" i="7"/>
  <c r="A14" i="7"/>
  <c r="E15" i="7"/>
  <c r="F15" i="7"/>
  <c r="G15" i="7"/>
  <c r="A15" i="7"/>
  <c r="E16" i="7"/>
  <c r="F16" i="7"/>
  <c r="G16" i="7"/>
  <c r="A16" i="7"/>
  <c r="E17" i="7"/>
  <c r="F17" i="7"/>
  <c r="G17" i="7"/>
  <c r="A17" i="7"/>
  <c r="E18" i="7"/>
  <c r="F18" i="7"/>
  <c r="G18" i="7"/>
  <c r="A18" i="7"/>
  <c r="E19" i="7"/>
  <c r="F19" i="7"/>
  <c r="G19" i="7"/>
  <c r="A19" i="7"/>
  <c r="E20" i="7"/>
  <c r="F20" i="7"/>
  <c r="G20" i="7"/>
  <c r="A20" i="7"/>
  <c r="E21" i="7"/>
  <c r="F21" i="7"/>
  <c r="G21" i="7"/>
  <c r="A21" i="7"/>
  <c r="E22" i="7"/>
  <c r="F22" i="7"/>
  <c r="G22" i="7"/>
  <c r="A22" i="7"/>
  <c r="E23" i="7"/>
  <c r="F23" i="7"/>
  <c r="G23" i="7"/>
  <c r="A23" i="7"/>
  <c r="E24" i="7"/>
  <c r="F24" i="7"/>
  <c r="G24" i="7"/>
  <c r="A24" i="7"/>
  <c r="E25" i="7"/>
  <c r="F25" i="7"/>
  <c r="G25" i="7"/>
  <c r="A25" i="7"/>
  <c r="E26" i="7"/>
  <c r="F26" i="7"/>
  <c r="G26" i="7"/>
  <c r="A26" i="7"/>
  <c r="E27" i="7"/>
  <c r="F27" i="7"/>
  <c r="G27" i="7"/>
  <c r="A27" i="7"/>
  <c r="E28" i="7"/>
  <c r="F28" i="7"/>
  <c r="G28" i="7"/>
  <c r="A28" i="7"/>
  <c r="E29" i="7"/>
  <c r="F29" i="7"/>
  <c r="G29" i="7"/>
  <c r="A29" i="7"/>
  <c r="E30" i="7"/>
  <c r="F30" i="7"/>
  <c r="G30" i="7"/>
  <c r="A30" i="7"/>
  <c r="E31" i="7"/>
  <c r="F31" i="7"/>
  <c r="G31" i="7"/>
  <c r="A31" i="7"/>
  <c r="E32" i="7"/>
  <c r="F32" i="7"/>
  <c r="G32" i="7"/>
  <c r="A32" i="7"/>
  <c r="E33" i="7"/>
  <c r="F33" i="7"/>
  <c r="G33" i="7"/>
  <c r="A33" i="7"/>
  <c r="E34" i="7"/>
  <c r="F34" i="7"/>
  <c r="G34" i="7"/>
  <c r="A34" i="7"/>
  <c r="E35" i="7"/>
  <c r="F35" i="7"/>
  <c r="G35" i="7"/>
  <c r="A35" i="7"/>
  <c r="E36" i="7"/>
  <c r="F36" i="7"/>
  <c r="G36" i="7"/>
  <c r="A36" i="7"/>
  <c r="E37" i="7"/>
  <c r="F37" i="7"/>
  <c r="G37" i="7"/>
  <c r="A37" i="7"/>
  <c r="E38" i="7"/>
  <c r="F38" i="7"/>
  <c r="G38" i="7"/>
  <c r="A38" i="7"/>
  <c r="E39" i="7"/>
  <c r="F39" i="7"/>
  <c r="G39" i="7"/>
  <c r="A39" i="7"/>
  <c r="E40" i="7"/>
  <c r="F40" i="7"/>
  <c r="G40" i="7"/>
  <c r="A40" i="7"/>
  <c r="E41" i="7"/>
  <c r="F41" i="7"/>
  <c r="G41" i="7"/>
  <c r="A41" i="7"/>
  <c r="E42" i="7"/>
  <c r="F42" i="7"/>
  <c r="G42" i="7"/>
  <c r="A42" i="7"/>
  <c r="E43" i="7"/>
  <c r="F43" i="7"/>
  <c r="G43" i="7"/>
  <c r="A43" i="7"/>
  <c r="E44" i="7"/>
  <c r="F44" i="7"/>
  <c r="G44" i="7"/>
  <c r="A44" i="7"/>
  <c r="E45" i="7"/>
  <c r="F45" i="7"/>
  <c r="G45" i="7"/>
  <c r="A45" i="7"/>
  <c r="E46" i="7"/>
  <c r="F46" i="7"/>
  <c r="G46" i="7"/>
  <c r="A46" i="7"/>
  <c r="E47" i="7"/>
  <c r="F47" i="7"/>
  <c r="G47" i="7"/>
  <c r="A47" i="7"/>
  <c r="E48" i="7"/>
  <c r="F48" i="7"/>
  <c r="G48" i="7"/>
  <c r="A48" i="7"/>
  <c r="E49" i="7"/>
  <c r="F49" i="7"/>
  <c r="G49" i="7"/>
  <c r="A49" i="7"/>
  <c r="E50" i="7"/>
  <c r="F50" i="7"/>
  <c r="G50" i="7"/>
  <c r="A50" i="7"/>
  <c r="E51" i="7"/>
  <c r="F51" i="7"/>
  <c r="G51" i="7"/>
  <c r="A51" i="7"/>
  <c r="E52" i="7"/>
  <c r="F52" i="7"/>
  <c r="G52" i="7"/>
  <c r="A52" i="7"/>
  <c r="E53" i="7"/>
  <c r="F53" i="7"/>
  <c r="G53" i="7"/>
  <c r="A53" i="7"/>
  <c r="E54" i="7"/>
  <c r="F54" i="7"/>
  <c r="G54" i="7"/>
  <c r="A54" i="7"/>
  <c r="E55" i="7"/>
  <c r="F55" i="7"/>
  <c r="G55" i="7"/>
  <c r="A55" i="7"/>
  <c r="E56" i="7"/>
  <c r="F56" i="7"/>
  <c r="G56" i="7"/>
  <c r="A56" i="7"/>
  <c r="E57" i="7"/>
  <c r="F57" i="7"/>
  <c r="G57" i="7"/>
  <c r="A57" i="7"/>
  <c r="E58" i="7"/>
  <c r="F58" i="7"/>
  <c r="G58" i="7"/>
  <c r="A58" i="7"/>
  <c r="E59" i="7"/>
  <c r="F59" i="7"/>
  <c r="G59" i="7"/>
  <c r="A59" i="7"/>
  <c r="E60" i="7"/>
  <c r="F60" i="7"/>
  <c r="G60" i="7"/>
  <c r="A60" i="7"/>
  <c r="E61" i="7"/>
  <c r="F61" i="7"/>
  <c r="G61" i="7"/>
  <c r="A61" i="7"/>
  <c r="E62" i="7"/>
  <c r="F62" i="7"/>
  <c r="G62" i="7"/>
  <c r="A62" i="7"/>
  <c r="E63" i="7"/>
  <c r="F63" i="7"/>
  <c r="G63" i="7"/>
  <c r="A63" i="7"/>
  <c r="E64" i="7"/>
  <c r="F64" i="7"/>
  <c r="G64" i="7"/>
  <c r="A64" i="7"/>
  <c r="E65" i="7"/>
  <c r="F65" i="7"/>
  <c r="G65" i="7"/>
  <c r="A65" i="7"/>
  <c r="E66" i="7"/>
  <c r="F66" i="7"/>
  <c r="G66" i="7"/>
  <c r="A66" i="7"/>
  <c r="E67" i="7"/>
  <c r="F67" i="7"/>
  <c r="G67" i="7"/>
  <c r="A67" i="7"/>
  <c r="E68" i="7"/>
  <c r="F68" i="7"/>
  <c r="G68" i="7"/>
  <c r="A68" i="7"/>
  <c r="E69" i="7"/>
  <c r="F69" i="7"/>
  <c r="G69" i="7"/>
  <c r="A69" i="7"/>
  <c r="E70" i="7"/>
  <c r="F70" i="7"/>
  <c r="G70" i="7"/>
  <c r="A70" i="7"/>
  <c r="E71" i="7"/>
  <c r="F71" i="7"/>
  <c r="G71" i="7"/>
  <c r="A71" i="7"/>
  <c r="E72" i="7"/>
  <c r="F72" i="7"/>
  <c r="G72" i="7"/>
  <c r="A72" i="7"/>
  <c r="I72" i="7"/>
  <c r="F12" i="7"/>
  <c r="G12" i="7"/>
  <c r="A12" i="7"/>
  <c r="I71" i="7"/>
  <c r="B82" i="3"/>
  <c r="B86" i="3"/>
  <c r="D86" i="3"/>
  <c r="B9" i="7"/>
  <c r="B13" i="7"/>
  <c r="H5" i="7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I80" i="4"/>
  <c r="B80" i="4"/>
  <c r="G80" i="4"/>
  <c r="F80" i="4"/>
  <c r="E80" i="4"/>
  <c r="D80" i="4"/>
  <c r="C80" i="4"/>
  <c r="I79" i="4"/>
  <c r="B79" i="4"/>
  <c r="G79" i="4"/>
  <c r="F79" i="4"/>
  <c r="E79" i="4"/>
  <c r="D79" i="4"/>
  <c r="C79" i="4"/>
  <c r="I78" i="4"/>
  <c r="B78" i="4"/>
  <c r="G78" i="4"/>
  <c r="F78" i="4"/>
  <c r="E78" i="4"/>
  <c r="D78" i="4"/>
  <c r="C78" i="4"/>
  <c r="I77" i="4"/>
  <c r="B77" i="4"/>
  <c r="G77" i="4"/>
  <c r="F77" i="4"/>
  <c r="E77" i="4"/>
  <c r="D77" i="4"/>
  <c r="C77" i="4"/>
  <c r="I76" i="4"/>
  <c r="B76" i="4"/>
  <c r="G76" i="4"/>
  <c r="F76" i="4"/>
  <c r="E76" i="4"/>
  <c r="D76" i="4"/>
  <c r="C76" i="4"/>
  <c r="I75" i="4"/>
  <c r="B75" i="4"/>
  <c r="G75" i="4"/>
  <c r="F75" i="4"/>
  <c r="E75" i="4"/>
  <c r="D75" i="4"/>
  <c r="C75" i="4"/>
  <c r="I74" i="4"/>
  <c r="B74" i="4"/>
  <c r="G74" i="4"/>
  <c r="F74" i="4"/>
  <c r="E74" i="4"/>
  <c r="D74" i="4"/>
  <c r="C74" i="4"/>
  <c r="I73" i="4"/>
  <c r="B73" i="4"/>
  <c r="G73" i="4"/>
  <c r="F73" i="4"/>
  <c r="E73" i="4"/>
  <c r="D73" i="4"/>
  <c r="C73" i="4"/>
  <c r="I72" i="4"/>
  <c r="B72" i="4"/>
  <c r="G72" i="4"/>
  <c r="F72" i="4"/>
  <c r="E72" i="4"/>
  <c r="D72" i="4"/>
  <c r="C72" i="4"/>
  <c r="I71" i="4"/>
  <c r="B71" i="4"/>
  <c r="G71" i="4"/>
  <c r="F71" i="4"/>
  <c r="E71" i="4"/>
  <c r="D71" i="4"/>
  <c r="C71" i="4"/>
  <c r="I70" i="4"/>
  <c r="B70" i="4"/>
  <c r="G70" i="4"/>
  <c r="F70" i="4"/>
  <c r="E70" i="4"/>
  <c r="D70" i="4"/>
  <c r="C70" i="4"/>
  <c r="I69" i="4"/>
  <c r="B69" i="4"/>
  <c r="G69" i="4"/>
  <c r="F69" i="4"/>
  <c r="E69" i="4"/>
  <c r="D69" i="4"/>
  <c r="C69" i="4"/>
  <c r="I68" i="4"/>
  <c r="B68" i="4"/>
  <c r="G68" i="4"/>
  <c r="F68" i="4"/>
  <c r="E68" i="4"/>
  <c r="D68" i="4"/>
  <c r="C68" i="4"/>
  <c r="J6" i="4"/>
  <c r="I67" i="4"/>
  <c r="B67" i="4"/>
  <c r="G67" i="4"/>
  <c r="F67" i="4"/>
  <c r="E67" i="4"/>
  <c r="D67" i="4"/>
  <c r="C67" i="4"/>
  <c r="I66" i="4"/>
  <c r="B66" i="4"/>
  <c r="G66" i="4"/>
  <c r="F66" i="4"/>
  <c r="E66" i="4"/>
  <c r="D66" i="4"/>
  <c r="C66" i="4"/>
  <c r="I65" i="4"/>
  <c r="B65" i="4"/>
  <c r="G65" i="4"/>
  <c r="F65" i="4"/>
  <c r="E65" i="4"/>
  <c r="D65" i="4"/>
  <c r="C65" i="4"/>
  <c r="I64" i="4"/>
  <c r="B64" i="4"/>
  <c r="G64" i="4"/>
  <c r="F64" i="4"/>
  <c r="E64" i="4"/>
  <c r="D64" i="4"/>
  <c r="C64" i="4"/>
  <c r="I63" i="4"/>
  <c r="B63" i="4"/>
  <c r="G63" i="4"/>
  <c r="F63" i="4"/>
  <c r="E63" i="4"/>
  <c r="D63" i="4"/>
  <c r="C63" i="4"/>
  <c r="I62" i="4"/>
  <c r="B62" i="4"/>
  <c r="G62" i="4"/>
  <c r="F62" i="4"/>
  <c r="E62" i="4"/>
  <c r="D62" i="4"/>
  <c r="C62" i="4"/>
  <c r="I61" i="4"/>
  <c r="B61" i="4"/>
  <c r="G61" i="4"/>
  <c r="F61" i="4"/>
  <c r="E61" i="4"/>
  <c r="D61" i="4"/>
  <c r="C61" i="4"/>
  <c r="I60" i="4"/>
  <c r="B60" i="4"/>
  <c r="G60" i="4"/>
  <c r="F60" i="4"/>
  <c r="E60" i="4"/>
  <c r="D60" i="4"/>
  <c r="C60" i="4"/>
  <c r="I59" i="4"/>
  <c r="B59" i="4"/>
  <c r="G59" i="4"/>
  <c r="F59" i="4"/>
  <c r="E59" i="4"/>
  <c r="D59" i="4"/>
  <c r="C59" i="4"/>
  <c r="I58" i="4"/>
  <c r="B58" i="4"/>
  <c r="G58" i="4"/>
  <c r="F58" i="4"/>
  <c r="E58" i="4"/>
  <c r="D58" i="4"/>
  <c r="C58" i="4"/>
  <c r="I57" i="4"/>
  <c r="B57" i="4"/>
  <c r="G57" i="4"/>
  <c r="F57" i="4"/>
  <c r="E57" i="4"/>
  <c r="D57" i="4"/>
  <c r="C57" i="4"/>
  <c r="I56" i="4"/>
  <c r="B56" i="4"/>
  <c r="G56" i="4"/>
  <c r="F56" i="4"/>
  <c r="E56" i="4"/>
  <c r="D56" i="4"/>
  <c r="C56" i="4"/>
  <c r="M49" i="6"/>
  <c r="A14" i="6"/>
  <c r="D67" i="3"/>
  <c r="G23" i="6"/>
  <c r="K2" i="7"/>
  <c r="K90" i="3"/>
  <c r="F26" i="6"/>
  <c r="G3" i="6"/>
  <c r="G2" i="6"/>
  <c r="G4" i="6"/>
  <c r="G5" i="6"/>
  <c r="A26" i="6"/>
  <c r="A11" i="6"/>
  <c r="G8" i="6"/>
  <c r="A18" i="6"/>
  <c r="B29" i="3"/>
  <c r="D29" i="3"/>
  <c r="B21" i="3"/>
  <c r="E28" i="3"/>
  <c r="E29" i="3"/>
  <c r="B28" i="3"/>
  <c r="B26" i="3"/>
  <c r="B27" i="3"/>
  <c r="B14" i="3"/>
  <c r="B31" i="3"/>
  <c r="B32" i="3"/>
  <c r="C21" i="3"/>
  <c r="D90" i="3"/>
  <c r="D91" i="3"/>
  <c r="B90" i="3"/>
  <c r="B91" i="3"/>
  <c r="D74" i="3"/>
  <c r="D75" i="3"/>
  <c r="B74" i="3"/>
  <c r="B75" i="3"/>
  <c r="A99" i="3"/>
  <c r="D6" i="7"/>
  <c r="C6" i="7"/>
  <c r="E86" i="3"/>
  <c r="B85" i="3"/>
  <c r="K88" i="3"/>
  <c r="J16" i="4"/>
  <c r="B65" i="3"/>
  <c r="B81" i="3"/>
  <c r="B83" i="3"/>
  <c r="K3" i="7"/>
  <c r="C7" i="3"/>
  <c r="C8" i="3"/>
  <c r="B69" i="3"/>
  <c r="B84" i="3"/>
  <c r="G25" i="6"/>
  <c r="B38" i="3"/>
  <c r="E38" i="3"/>
  <c r="C38" i="3"/>
  <c r="E37" i="3"/>
  <c r="C37" i="3"/>
  <c r="B35" i="3"/>
  <c r="D35" i="3"/>
  <c r="D87" i="3"/>
  <c r="D88" i="3"/>
  <c r="B87" i="3"/>
  <c r="B88" i="3"/>
  <c r="D84" i="3"/>
  <c r="F13" i="3"/>
  <c r="E13" i="3"/>
  <c r="B67" i="3"/>
  <c r="G7" i="6"/>
  <c r="H8" i="6"/>
  <c r="H3" i="6"/>
  <c r="H4" i="6"/>
  <c r="C43" i="3"/>
  <c r="C44" i="3"/>
  <c r="E26" i="3"/>
  <c r="B12" i="3"/>
  <c r="E27" i="3"/>
  <c r="B25" i="3"/>
  <c r="T29" i="3"/>
  <c r="V29" i="3"/>
  <c r="T30" i="3"/>
  <c r="V30" i="3"/>
  <c r="T31" i="3"/>
  <c r="V31" i="3"/>
  <c r="T32" i="3"/>
  <c r="V32" i="3"/>
  <c r="T33" i="3"/>
  <c r="V33" i="3"/>
  <c r="T34" i="3"/>
  <c r="V34" i="3"/>
  <c r="T35" i="3"/>
  <c r="V35" i="3"/>
  <c r="T36" i="3"/>
  <c r="V36" i="3"/>
  <c r="T37" i="3"/>
  <c r="V37" i="3"/>
  <c r="T38" i="3"/>
  <c r="V38" i="3"/>
  <c r="T39" i="3"/>
  <c r="V39" i="3"/>
  <c r="T40" i="3"/>
  <c r="V40" i="3"/>
  <c r="T41" i="3"/>
  <c r="V41" i="3"/>
  <c r="T42" i="3"/>
  <c r="V42" i="3"/>
  <c r="T43" i="3"/>
  <c r="V43" i="3"/>
  <c r="T44" i="3"/>
  <c r="V44" i="3"/>
  <c r="T45" i="3"/>
  <c r="V45" i="3"/>
  <c r="T46" i="3"/>
  <c r="V46" i="3"/>
  <c r="T47" i="3"/>
  <c r="V47" i="3"/>
  <c r="T48" i="3"/>
  <c r="V48" i="3"/>
  <c r="T49" i="3"/>
  <c r="V49" i="3"/>
  <c r="T50" i="3"/>
  <c r="V50" i="3"/>
  <c r="T51" i="3"/>
  <c r="V51" i="3"/>
  <c r="T52" i="3"/>
  <c r="V52" i="3"/>
  <c r="T53" i="3"/>
  <c r="V53" i="3"/>
  <c r="T54" i="3"/>
  <c r="V54" i="3"/>
  <c r="T55" i="3"/>
  <c r="V55" i="3"/>
  <c r="T56" i="3"/>
  <c r="V56" i="3"/>
  <c r="T57" i="3"/>
  <c r="V57" i="3"/>
  <c r="T58" i="3"/>
  <c r="V58" i="3"/>
  <c r="V28" i="3"/>
  <c r="C11" i="3"/>
  <c r="B34" i="3"/>
  <c r="D71" i="3"/>
  <c r="D72" i="3"/>
  <c r="B71" i="3"/>
  <c r="B72" i="3"/>
  <c r="F25" i="6"/>
  <c r="A25" i="6"/>
  <c r="K1" i="7"/>
  <c r="H26" i="6"/>
  <c r="I26" i="6"/>
  <c r="C26" i="6"/>
  <c r="D26" i="6"/>
  <c r="F23" i="6"/>
  <c r="H23" i="6"/>
  <c r="I23" i="6"/>
  <c r="A23" i="6"/>
  <c r="C23" i="6"/>
  <c r="D23" i="6"/>
  <c r="B68" i="3"/>
  <c r="D68" i="3"/>
  <c r="C58" i="3"/>
  <c r="J11" i="6"/>
  <c r="G22" i="6"/>
  <c r="F22" i="6"/>
  <c r="A22" i="6"/>
  <c r="H25" i="6"/>
  <c r="I25" i="6"/>
  <c r="C25" i="6"/>
  <c r="D25" i="6"/>
  <c r="U58" i="3"/>
  <c r="U51" i="3"/>
  <c r="U52" i="3"/>
  <c r="U53" i="3"/>
  <c r="U54" i="3"/>
  <c r="U55" i="3"/>
  <c r="U56" i="3"/>
  <c r="U57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28" i="3"/>
  <c r="M56" i="6"/>
  <c r="D34" i="3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26" i="7"/>
  <c r="C22" i="6"/>
  <c r="D22" i="6"/>
  <c r="B10" i="3"/>
  <c r="H9" i="4"/>
  <c r="I13" i="4"/>
  <c r="I14" i="4"/>
  <c r="H54" i="4"/>
  <c r="K22" i="6"/>
  <c r="M21" i="6"/>
  <c r="K27" i="6"/>
  <c r="L27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50" i="6"/>
  <c r="M51" i="6"/>
  <c r="M52" i="6"/>
  <c r="M54" i="6"/>
  <c r="M55" i="6"/>
  <c r="M57" i="6"/>
  <c r="M58" i="6"/>
  <c r="M59" i="6"/>
  <c r="M60" i="6"/>
  <c r="M61" i="6"/>
  <c r="M62" i="6"/>
  <c r="M35" i="6"/>
  <c r="B11" i="6"/>
  <c r="K25" i="6"/>
  <c r="K21" i="6"/>
  <c r="K29" i="6"/>
  <c r="K30" i="6"/>
  <c r="K20" i="6"/>
  <c r="K24" i="6"/>
  <c r="F47" i="3"/>
  <c r="B46" i="3"/>
  <c r="L26" i="6"/>
  <c r="A17" i="6"/>
  <c r="A15" i="6"/>
  <c r="E73" i="7"/>
  <c r="F73" i="7"/>
  <c r="G73" i="7"/>
  <c r="A73" i="7"/>
  <c r="E74" i="7"/>
  <c r="F74" i="7"/>
  <c r="G74" i="7"/>
  <c r="A74" i="7"/>
  <c r="E75" i="7"/>
  <c r="F75" i="7"/>
  <c r="G75" i="7"/>
  <c r="A75" i="7"/>
  <c r="E76" i="7"/>
  <c r="F76" i="7"/>
  <c r="G76" i="7"/>
  <c r="A76" i="7"/>
  <c r="E77" i="7"/>
  <c r="F77" i="7"/>
  <c r="G77" i="7"/>
  <c r="A77" i="7"/>
  <c r="E78" i="7"/>
  <c r="F78" i="7"/>
  <c r="G78" i="7"/>
  <c r="A78" i="7"/>
  <c r="E79" i="7"/>
  <c r="F79" i="7"/>
  <c r="G79" i="7"/>
  <c r="A79" i="7"/>
  <c r="E80" i="7"/>
  <c r="F80" i="7"/>
  <c r="G80" i="7"/>
  <c r="A80" i="7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F83" i="6"/>
  <c r="G83" i="6"/>
  <c r="A19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A84" i="6"/>
  <c r="C84" i="6"/>
  <c r="A85" i="6"/>
  <c r="C85" i="6"/>
  <c r="A86" i="6"/>
  <c r="C86" i="6"/>
  <c r="A87" i="6"/>
  <c r="C87" i="6"/>
  <c r="A88" i="6"/>
  <c r="C88" i="6"/>
  <c r="A89" i="6"/>
  <c r="C89" i="6"/>
  <c r="A90" i="6"/>
  <c r="C90" i="6"/>
  <c r="A91" i="6"/>
  <c r="C91" i="6"/>
  <c r="A92" i="6"/>
  <c r="C92" i="6"/>
  <c r="A93" i="6"/>
  <c r="C93" i="6"/>
  <c r="A94" i="6"/>
  <c r="C94" i="6"/>
  <c r="A95" i="6"/>
  <c r="C95" i="6"/>
  <c r="A96" i="6"/>
  <c r="C96" i="6"/>
  <c r="A97" i="6"/>
  <c r="C97" i="6"/>
  <c r="A98" i="6"/>
  <c r="C98" i="6"/>
  <c r="A99" i="6"/>
  <c r="C99" i="6"/>
  <c r="A100" i="6"/>
  <c r="C100" i="6"/>
  <c r="A101" i="6"/>
  <c r="C101" i="6"/>
  <c r="C31" i="6"/>
  <c r="G13" i="6"/>
  <c r="B19" i="3"/>
  <c r="B20" i="3"/>
  <c r="H22" i="6"/>
  <c r="I22" i="6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E81" i="7"/>
  <c r="F81" i="7"/>
  <c r="G81" i="7"/>
  <c r="D81" i="7"/>
  <c r="E82" i="7"/>
  <c r="F82" i="7"/>
  <c r="G82" i="7"/>
  <c r="D82" i="7"/>
  <c r="E83" i="7"/>
  <c r="F83" i="7"/>
  <c r="G83" i="7"/>
  <c r="D83" i="7"/>
  <c r="E84" i="7"/>
  <c r="F84" i="7"/>
  <c r="G84" i="7"/>
  <c r="D84" i="7"/>
  <c r="E85" i="7"/>
  <c r="F85" i="7"/>
  <c r="G85" i="7"/>
  <c r="D85" i="7"/>
  <c r="E86" i="7"/>
  <c r="F86" i="7"/>
  <c r="G86" i="7"/>
  <c r="D86" i="7"/>
  <c r="E87" i="7"/>
  <c r="F87" i="7"/>
  <c r="G87" i="7"/>
  <c r="D87" i="7"/>
  <c r="E88" i="7"/>
  <c r="F88" i="7"/>
  <c r="G88" i="7"/>
  <c r="D88" i="7"/>
  <c r="E89" i="7"/>
  <c r="F89" i="7"/>
  <c r="G89" i="7"/>
  <c r="D89" i="7"/>
  <c r="E90" i="7"/>
  <c r="F90" i="7"/>
  <c r="G90" i="7"/>
  <c r="D90" i="7"/>
  <c r="E91" i="7"/>
  <c r="F91" i="7"/>
  <c r="G91" i="7"/>
  <c r="D91" i="7"/>
  <c r="E92" i="7"/>
  <c r="F92" i="7"/>
  <c r="G92" i="7"/>
  <c r="D92" i="7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31" i="6"/>
  <c r="D97" i="6"/>
  <c r="G97" i="6"/>
  <c r="H97" i="6"/>
  <c r="I97" i="6"/>
  <c r="D98" i="6"/>
  <c r="G98" i="6"/>
  <c r="H98" i="6"/>
  <c r="I98" i="6"/>
  <c r="D99" i="6"/>
  <c r="G99" i="6"/>
  <c r="H99" i="6"/>
  <c r="I99" i="6"/>
  <c r="D100" i="6"/>
  <c r="G100" i="6"/>
  <c r="H100" i="6"/>
  <c r="I100" i="6"/>
  <c r="D101" i="6"/>
  <c r="G101" i="6"/>
  <c r="H101" i="6"/>
  <c r="I101" i="6"/>
  <c r="A81" i="7"/>
  <c r="A82" i="7"/>
  <c r="A83" i="7"/>
  <c r="A84" i="7"/>
  <c r="A85" i="7"/>
  <c r="A86" i="7"/>
  <c r="A87" i="7"/>
  <c r="A88" i="7"/>
  <c r="H4" i="7"/>
  <c r="H6" i="7"/>
  <c r="H8" i="7"/>
  <c r="L32" i="7"/>
  <c r="H92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A92" i="7"/>
  <c r="H91" i="7"/>
  <c r="A91" i="7"/>
  <c r="H90" i="7"/>
  <c r="A90" i="7"/>
  <c r="H89" i="7"/>
  <c r="A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L45" i="7"/>
  <c r="H40" i="7"/>
  <c r="L44" i="7"/>
  <c r="H39" i="7"/>
  <c r="L43" i="7"/>
  <c r="H38" i="7"/>
  <c r="L42" i="7"/>
  <c r="H37" i="7"/>
  <c r="L41" i="7"/>
  <c r="H36" i="7"/>
  <c r="L40" i="7"/>
  <c r="H35" i="7"/>
  <c r="L39" i="7"/>
  <c r="H34" i="7"/>
  <c r="L38" i="7"/>
  <c r="H33" i="7"/>
  <c r="L37" i="7"/>
  <c r="H32" i="7"/>
  <c r="L36" i="7"/>
  <c r="H31" i="7"/>
  <c r="L35" i="7"/>
  <c r="H30" i="7"/>
  <c r="L34" i="7"/>
  <c r="H29" i="7"/>
  <c r="L33" i="7"/>
  <c r="H28" i="7"/>
  <c r="H27" i="7"/>
  <c r="L31" i="7"/>
  <c r="H26" i="7"/>
  <c r="L30" i="7"/>
  <c r="H25" i="7"/>
  <c r="L29" i="7"/>
  <c r="H24" i="7"/>
  <c r="L28" i="7"/>
  <c r="H23" i="7"/>
  <c r="L27" i="7"/>
  <c r="H22" i="7"/>
  <c r="L26" i="7"/>
  <c r="H21" i="7"/>
  <c r="L25" i="7"/>
  <c r="H20" i="7"/>
  <c r="H19" i="7"/>
  <c r="J9" i="7"/>
  <c r="J19" i="7"/>
  <c r="H18" i="7"/>
  <c r="H17" i="7"/>
  <c r="H16" i="7"/>
  <c r="H15" i="7"/>
  <c r="H14" i="7"/>
  <c r="H13" i="7"/>
  <c r="H12" i="7"/>
  <c r="D7" i="7"/>
  <c r="D5" i="7"/>
  <c r="J22" i="4"/>
  <c r="J21" i="4"/>
  <c r="J20" i="4"/>
  <c r="J19" i="4"/>
  <c r="J17" i="4"/>
  <c r="J18" i="4"/>
  <c r="L22" i="4"/>
  <c r="D92" i="6"/>
  <c r="G92" i="6"/>
  <c r="H92" i="6"/>
  <c r="I92" i="6"/>
  <c r="D93" i="6"/>
  <c r="G93" i="6"/>
  <c r="H93" i="6"/>
  <c r="I93" i="6"/>
  <c r="D94" i="6"/>
  <c r="G94" i="6"/>
  <c r="H94" i="6"/>
  <c r="I94" i="6"/>
  <c r="D95" i="6"/>
  <c r="G95" i="6"/>
  <c r="H95" i="6"/>
  <c r="I95" i="6"/>
  <c r="D96" i="6"/>
  <c r="G96" i="6"/>
  <c r="H96" i="6"/>
  <c r="I96" i="6"/>
  <c r="R12" i="5"/>
  <c r="Q12" i="5"/>
  <c r="P12" i="5"/>
  <c r="O12" i="5"/>
  <c r="N12" i="5"/>
  <c r="M12" i="5"/>
  <c r="L12" i="5"/>
  <c r="K12" i="5"/>
  <c r="J12" i="5"/>
  <c r="I12" i="5"/>
  <c r="R10" i="5"/>
  <c r="Q10" i="5"/>
  <c r="P10" i="5"/>
  <c r="O10" i="5"/>
  <c r="N10" i="5"/>
  <c r="M10" i="5"/>
  <c r="L10" i="5"/>
  <c r="K10" i="5"/>
  <c r="J10" i="5"/>
  <c r="I10" i="5"/>
  <c r="H20" i="6"/>
  <c r="D83" i="6"/>
  <c r="H83" i="6"/>
  <c r="I83" i="6"/>
  <c r="D84" i="6"/>
  <c r="G84" i="6"/>
  <c r="H84" i="6"/>
  <c r="I84" i="6"/>
  <c r="D85" i="6"/>
  <c r="G85" i="6"/>
  <c r="H85" i="6"/>
  <c r="I85" i="6"/>
  <c r="D86" i="6"/>
  <c r="G86" i="6"/>
  <c r="H86" i="6"/>
  <c r="I86" i="6"/>
  <c r="D87" i="6"/>
  <c r="G87" i="6"/>
  <c r="H87" i="6"/>
  <c r="I87" i="6"/>
  <c r="D88" i="6"/>
  <c r="G88" i="6"/>
  <c r="H88" i="6"/>
  <c r="I88" i="6"/>
  <c r="D89" i="6"/>
  <c r="G89" i="6"/>
  <c r="H89" i="6"/>
  <c r="I89" i="6"/>
  <c r="D90" i="6"/>
  <c r="G90" i="6"/>
  <c r="H90" i="6"/>
  <c r="I90" i="6"/>
  <c r="D91" i="6"/>
  <c r="G91" i="6"/>
  <c r="H91" i="6"/>
  <c r="I91" i="6"/>
  <c r="D56" i="6"/>
  <c r="G56" i="6"/>
  <c r="H56" i="6"/>
  <c r="I56" i="6"/>
  <c r="D57" i="6"/>
  <c r="G57" i="6"/>
  <c r="H57" i="6"/>
  <c r="I57" i="6"/>
  <c r="D58" i="6"/>
  <c r="G58" i="6"/>
  <c r="H58" i="6"/>
  <c r="I58" i="6"/>
  <c r="D59" i="6"/>
  <c r="G59" i="6"/>
  <c r="H59" i="6"/>
  <c r="I59" i="6"/>
  <c r="D60" i="6"/>
  <c r="G60" i="6"/>
  <c r="H60" i="6"/>
  <c r="I60" i="6"/>
  <c r="D61" i="6"/>
  <c r="G61" i="6"/>
  <c r="H61" i="6"/>
  <c r="I61" i="6"/>
  <c r="D62" i="6"/>
  <c r="G62" i="6"/>
  <c r="H62" i="6"/>
  <c r="I62" i="6"/>
  <c r="D63" i="6"/>
  <c r="G63" i="6"/>
  <c r="H63" i="6"/>
  <c r="I63" i="6"/>
  <c r="D64" i="6"/>
  <c r="G64" i="6"/>
  <c r="H64" i="6"/>
  <c r="I64" i="6"/>
  <c r="D65" i="6"/>
  <c r="G65" i="6"/>
  <c r="H65" i="6"/>
  <c r="I65" i="6"/>
  <c r="D66" i="6"/>
  <c r="G66" i="6"/>
  <c r="H66" i="6"/>
  <c r="I66" i="6"/>
  <c r="D67" i="6"/>
  <c r="G67" i="6"/>
  <c r="H67" i="6"/>
  <c r="I67" i="6"/>
  <c r="D68" i="6"/>
  <c r="G68" i="6"/>
  <c r="H68" i="6"/>
  <c r="I68" i="6"/>
  <c r="D69" i="6"/>
  <c r="G69" i="6"/>
  <c r="H69" i="6"/>
  <c r="I69" i="6"/>
  <c r="D70" i="6"/>
  <c r="G70" i="6"/>
  <c r="H70" i="6"/>
  <c r="I70" i="6"/>
  <c r="D71" i="6"/>
  <c r="G71" i="6"/>
  <c r="H71" i="6"/>
  <c r="I71" i="6"/>
  <c r="D72" i="6"/>
  <c r="G72" i="6"/>
  <c r="H72" i="6"/>
  <c r="I72" i="6"/>
  <c r="D73" i="6"/>
  <c r="G73" i="6"/>
  <c r="H73" i="6"/>
  <c r="I73" i="6"/>
  <c r="D74" i="6"/>
  <c r="G74" i="6"/>
  <c r="H74" i="6"/>
  <c r="I74" i="6"/>
  <c r="D75" i="6"/>
  <c r="G75" i="6"/>
  <c r="H75" i="6"/>
  <c r="I75" i="6"/>
  <c r="D76" i="6"/>
  <c r="G76" i="6"/>
  <c r="H76" i="6"/>
  <c r="I76" i="6"/>
  <c r="D77" i="6"/>
  <c r="G77" i="6"/>
  <c r="H77" i="6"/>
  <c r="I77" i="6"/>
  <c r="D78" i="6"/>
  <c r="G78" i="6"/>
  <c r="H78" i="6"/>
  <c r="I78" i="6"/>
  <c r="D79" i="6"/>
  <c r="G79" i="6"/>
  <c r="H79" i="6"/>
  <c r="I79" i="6"/>
  <c r="D80" i="6"/>
  <c r="G80" i="6"/>
  <c r="H80" i="6"/>
  <c r="I80" i="6"/>
  <c r="D81" i="6"/>
  <c r="G81" i="6"/>
  <c r="H81" i="6"/>
  <c r="I81" i="6"/>
  <c r="D82" i="6"/>
  <c r="G82" i="6"/>
  <c r="H82" i="6"/>
  <c r="I82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31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Q88" i="5"/>
  <c r="O88" i="5"/>
  <c r="M88" i="5"/>
  <c r="K88" i="5"/>
  <c r="I88" i="5"/>
  <c r="Q127" i="5"/>
  <c r="O127" i="5"/>
  <c r="M127" i="5"/>
  <c r="K127" i="5"/>
  <c r="I127" i="5"/>
  <c r="R218" i="5"/>
  <c r="Q218" i="5"/>
  <c r="P218" i="5"/>
  <c r="O218" i="5"/>
  <c r="N218" i="5"/>
  <c r="M218" i="5"/>
  <c r="L218" i="5"/>
  <c r="K218" i="5"/>
  <c r="J218" i="5"/>
  <c r="I218" i="5"/>
  <c r="R217" i="5"/>
  <c r="Q217" i="5"/>
  <c r="P217" i="5"/>
  <c r="O217" i="5"/>
  <c r="N217" i="5"/>
  <c r="M217" i="5"/>
  <c r="L217" i="5"/>
  <c r="K217" i="5"/>
  <c r="J217" i="5"/>
  <c r="I217" i="5"/>
  <c r="R216" i="5"/>
  <c r="Q216" i="5"/>
  <c r="P216" i="5"/>
  <c r="O216" i="5"/>
  <c r="N216" i="5"/>
  <c r="M216" i="5"/>
  <c r="L216" i="5"/>
  <c r="K216" i="5"/>
  <c r="J216" i="5"/>
  <c r="I216" i="5"/>
  <c r="R215" i="5"/>
  <c r="Q215" i="5"/>
  <c r="P215" i="5"/>
  <c r="O215" i="5"/>
  <c r="N215" i="5"/>
  <c r="M215" i="5"/>
  <c r="L215" i="5"/>
  <c r="K215" i="5"/>
  <c r="J215" i="5"/>
  <c r="I215" i="5"/>
  <c r="R214" i="5"/>
  <c r="Q214" i="5"/>
  <c r="P214" i="5"/>
  <c r="O214" i="5"/>
  <c r="N214" i="5"/>
  <c r="M214" i="5"/>
  <c r="L214" i="5"/>
  <c r="K214" i="5"/>
  <c r="J214" i="5"/>
  <c r="I214" i="5"/>
  <c r="R213" i="5"/>
  <c r="Q213" i="5"/>
  <c r="P213" i="5"/>
  <c r="O213" i="5"/>
  <c r="N213" i="5"/>
  <c r="M213" i="5"/>
  <c r="L213" i="5"/>
  <c r="K213" i="5"/>
  <c r="J213" i="5"/>
  <c r="I213" i="5"/>
  <c r="R212" i="5"/>
  <c r="Q212" i="5"/>
  <c r="P212" i="5"/>
  <c r="O212" i="5"/>
  <c r="N212" i="5"/>
  <c r="M212" i="5"/>
  <c r="L212" i="5"/>
  <c r="K212" i="5"/>
  <c r="J212" i="5"/>
  <c r="I212" i="5"/>
  <c r="R208" i="5"/>
  <c r="Q208" i="5"/>
  <c r="P208" i="5"/>
  <c r="O208" i="5"/>
  <c r="N208" i="5"/>
  <c r="M208" i="5"/>
  <c r="L208" i="5"/>
  <c r="K208" i="5"/>
  <c r="J208" i="5"/>
  <c r="I208" i="5"/>
  <c r="R207" i="5"/>
  <c r="Q207" i="5"/>
  <c r="P207" i="5"/>
  <c r="O207" i="5"/>
  <c r="N207" i="5"/>
  <c r="M207" i="5"/>
  <c r="L207" i="5"/>
  <c r="K207" i="5"/>
  <c r="J207" i="5"/>
  <c r="I207" i="5"/>
  <c r="R206" i="5"/>
  <c r="Q206" i="5"/>
  <c r="P206" i="5"/>
  <c r="O206" i="5"/>
  <c r="N206" i="5"/>
  <c r="M206" i="5"/>
  <c r="L206" i="5"/>
  <c r="K206" i="5"/>
  <c r="J206" i="5"/>
  <c r="I206" i="5"/>
  <c r="R205" i="5"/>
  <c r="Q205" i="5"/>
  <c r="P205" i="5"/>
  <c r="O205" i="5"/>
  <c r="N205" i="5"/>
  <c r="M205" i="5"/>
  <c r="L205" i="5"/>
  <c r="K205" i="5"/>
  <c r="J205" i="5"/>
  <c r="I205" i="5"/>
  <c r="R204" i="5"/>
  <c r="Q204" i="5"/>
  <c r="P204" i="5"/>
  <c r="O204" i="5"/>
  <c r="N204" i="5"/>
  <c r="M204" i="5"/>
  <c r="L204" i="5"/>
  <c r="K204" i="5"/>
  <c r="J204" i="5"/>
  <c r="I204" i="5"/>
  <c r="R203" i="5"/>
  <c r="Q203" i="5"/>
  <c r="P203" i="5"/>
  <c r="O203" i="5"/>
  <c r="N203" i="5"/>
  <c r="M203" i="5"/>
  <c r="L203" i="5"/>
  <c r="K203" i="5"/>
  <c r="J203" i="5"/>
  <c r="I203" i="5"/>
  <c r="R202" i="5"/>
  <c r="Q202" i="5"/>
  <c r="P202" i="5"/>
  <c r="O202" i="5"/>
  <c r="N202" i="5"/>
  <c r="M202" i="5"/>
  <c r="L202" i="5"/>
  <c r="K202" i="5"/>
  <c r="J202" i="5"/>
  <c r="I202" i="5"/>
  <c r="R201" i="5"/>
  <c r="Q201" i="5"/>
  <c r="P201" i="5"/>
  <c r="O201" i="5"/>
  <c r="N201" i="5"/>
  <c r="M201" i="5"/>
  <c r="L201" i="5"/>
  <c r="K201" i="5"/>
  <c r="J201" i="5"/>
  <c r="I201" i="5"/>
  <c r="R200" i="5"/>
  <c r="Q200" i="5"/>
  <c r="P200" i="5"/>
  <c r="O200" i="5"/>
  <c r="N200" i="5"/>
  <c r="M200" i="5"/>
  <c r="L200" i="5"/>
  <c r="K200" i="5"/>
  <c r="J200" i="5"/>
  <c r="I200" i="5"/>
  <c r="R199" i="5"/>
  <c r="Q199" i="5"/>
  <c r="P199" i="5"/>
  <c r="O199" i="5"/>
  <c r="N199" i="5"/>
  <c r="M199" i="5"/>
  <c r="L199" i="5"/>
  <c r="K199" i="5"/>
  <c r="J199" i="5"/>
  <c r="I199" i="5"/>
  <c r="R198" i="5"/>
  <c r="Q198" i="5"/>
  <c r="P198" i="5"/>
  <c r="O198" i="5"/>
  <c r="N198" i="5"/>
  <c r="M198" i="5"/>
  <c r="L198" i="5"/>
  <c r="K198" i="5"/>
  <c r="J198" i="5"/>
  <c r="I198" i="5"/>
  <c r="R197" i="5"/>
  <c r="Q197" i="5"/>
  <c r="P197" i="5"/>
  <c r="O197" i="5"/>
  <c r="N197" i="5"/>
  <c r="M197" i="5"/>
  <c r="L197" i="5"/>
  <c r="K197" i="5"/>
  <c r="J197" i="5"/>
  <c r="I197" i="5"/>
  <c r="R196" i="5"/>
  <c r="Q196" i="5"/>
  <c r="P196" i="5"/>
  <c r="O196" i="5"/>
  <c r="N196" i="5"/>
  <c r="M196" i="5"/>
  <c r="L196" i="5"/>
  <c r="K196" i="5"/>
  <c r="J196" i="5"/>
  <c r="I196" i="5"/>
  <c r="R195" i="5"/>
  <c r="Q195" i="5"/>
  <c r="P195" i="5"/>
  <c r="O195" i="5"/>
  <c r="N195" i="5"/>
  <c r="M195" i="5"/>
  <c r="L195" i="5"/>
  <c r="K195" i="5"/>
  <c r="J195" i="5"/>
  <c r="I195" i="5"/>
  <c r="R194" i="5"/>
  <c r="Q194" i="5"/>
  <c r="P194" i="5"/>
  <c r="O194" i="5"/>
  <c r="N194" i="5"/>
  <c r="M194" i="5"/>
  <c r="L194" i="5"/>
  <c r="K194" i="5"/>
  <c r="J194" i="5"/>
  <c r="I194" i="5"/>
  <c r="R193" i="5"/>
  <c r="Q193" i="5"/>
  <c r="P193" i="5"/>
  <c r="O193" i="5"/>
  <c r="N193" i="5"/>
  <c r="M193" i="5"/>
  <c r="L193" i="5"/>
  <c r="K193" i="5"/>
  <c r="J193" i="5"/>
  <c r="I193" i="5"/>
  <c r="R192" i="5"/>
  <c r="Q192" i="5"/>
  <c r="P192" i="5"/>
  <c r="O192" i="5"/>
  <c r="N192" i="5"/>
  <c r="M192" i="5"/>
  <c r="L192" i="5"/>
  <c r="K192" i="5"/>
  <c r="J192" i="5"/>
  <c r="I192" i="5"/>
  <c r="R191" i="5"/>
  <c r="Q191" i="5"/>
  <c r="P191" i="5"/>
  <c r="O191" i="5"/>
  <c r="N191" i="5"/>
  <c r="M191" i="5"/>
  <c r="L191" i="5"/>
  <c r="K191" i="5"/>
  <c r="J191" i="5"/>
  <c r="I191" i="5"/>
  <c r="R190" i="5"/>
  <c r="Q190" i="5"/>
  <c r="P190" i="5"/>
  <c r="O190" i="5"/>
  <c r="N190" i="5"/>
  <c r="M190" i="5"/>
  <c r="L190" i="5"/>
  <c r="K190" i="5"/>
  <c r="J190" i="5"/>
  <c r="I190" i="5"/>
  <c r="R189" i="5"/>
  <c r="Q189" i="5"/>
  <c r="P189" i="5"/>
  <c r="O189" i="5"/>
  <c r="N189" i="5"/>
  <c r="M189" i="5"/>
  <c r="L189" i="5"/>
  <c r="K189" i="5"/>
  <c r="J189" i="5"/>
  <c r="I189" i="5"/>
  <c r="R188" i="5"/>
  <c r="Q188" i="5"/>
  <c r="P188" i="5"/>
  <c r="O188" i="5"/>
  <c r="N188" i="5"/>
  <c r="M188" i="5"/>
  <c r="L188" i="5"/>
  <c r="K188" i="5"/>
  <c r="J188" i="5"/>
  <c r="I188" i="5"/>
  <c r="R187" i="5"/>
  <c r="Q187" i="5"/>
  <c r="P187" i="5"/>
  <c r="O187" i="5"/>
  <c r="N187" i="5"/>
  <c r="M187" i="5"/>
  <c r="L187" i="5"/>
  <c r="K187" i="5"/>
  <c r="J187" i="5"/>
  <c r="I187" i="5"/>
  <c r="R186" i="5"/>
  <c r="Q186" i="5"/>
  <c r="P186" i="5"/>
  <c r="O186" i="5"/>
  <c r="N186" i="5"/>
  <c r="M186" i="5"/>
  <c r="L186" i="5"/>
  <c r="K186" i="5"/>
  <c r="J186" i="5"/>
  <c r="I186" i="5"/>
  <c r="R185" i="5"/>
  <c r="Q185" i="5"/>
  <c r="P185" i="5"/>
  <c r="O185" i="5"/>
  <c r="N185" i="5"/>
  <c r="M185" i="5"/>
  <c r="L185" i="5"/>
  <c r="K185" i="5"/>
  <c r="J185" i="5"/>
  <c r="I185" i="5"/>
  <c r="Q181" i="5"/>
  <c r="O181" i="5"/>
  <c r="M181" i="5"/>
  <c r="K181" i="5"/>
  <c r="I181" i="5"/>
  <c r="R178" i="5"/>
  <c r="Q178" i="5"/>
  <c r="P178" i="5"/>
  <c r="O178" i="5"/>
  <c r="N178" i="5"/>
  <c r="M178" i="5"/>
  <c r="L178" i="5"/>
  <c r="K178" i="5"/>
  <c r="J178" i="5"/>
  <c r="I178" i="5"/>
  <c r="R177" i="5"/>
  <c r="Q177" i="5"/>
  <c r="P177" i="5"/>
  <c r="O177" i="5"/>
  <c r="N177" i="5"/>
  <c r="M177" i="5"/>
  <c r="L177" i="5"/>
  <c r="K177" i="5"/>
  <c r="J177" i="5"/>
  <c r="I177" i="5"/>
  <c r="R176" i="5"/>
  <c r="Q176" i="5"/>
  <c r="P176" i="5"/>
  <c r="O176" i="5"/>
  <c r="N176" i="5"/>
  <c r="M176" i="5"/>
  <c r="L176" i="5"/>
  <c r="K176" i="5"/>
  <c r="J176" i="5"/>
  <c r="I176" i="5"/>
  <c r="R175" i="5"/>
  <c r="Q175" i="5"/>
  <c r="P175" i="5"/>
  <c r="O175" i="5"/>
  <c r="N175" i="5"/>
  <c r="M175" i="5"/>
  <c r="L175" i="5"/>
  <c r="K175" i="5"/>
  <c r="J175" i="5"/>
  <c r="I175" i="5"/>
  <c r="R174" i="5"/>
  <c r="Q174" i="5"/>
  <c r="P174" i="5"/>
  <c r="O174" i="5"/>
  <c r="N174" i="5"/>
  <c r="M174" i="5"/>
  <c r="L174" i="5"/>
  <c r="K174" i="5"/>
  <c r="J174" i="5"/>
  <c r="I174" i="5"/>
  <c r="R173" i="5"/>
  <c r="Q173" i="5"/>
  <c r="P173" i="5"/>
  <c r="O173" i="5"/>
  <c r="N173" i="5"/>
  <c r="M173" i="5"/>
  <c r="L173" i="5"/>
  <c r="K173" i="5"/>
  <c r="J173" i="5"/>
  <c r="I173" i="5"/>
  <c r="R172" i="5"/>
  <c r="Q172" i="5"/>
  <c r="P172" i="5"/>
  <c r="O172" i="5"/>
  <c r="N172" i="5"/>
  <c r="M172" i="5"/>
  <c r="L172" i="5"/>
  <c r="K172" i="5"/>
  <c r="J172" i="5"/>
  <c r="I172" i="5"/>
  <c r="R171" i="5"/>
  <c r="Q171" i="5"/>
  <c r="P171" i="5"/>
  <c r="O171" i="5"/>
  <c r="N171" i="5"/>
  <c r="M171" i="5"/>
  <c r="L171" i="5"/>
  <c r="K171" i="5"/>
  <c r="J171" i="5"/>
  <c r="I171" i="5"/>
  <c r="R170" i="5"/>
  <c r="Q170" i="5"/>
  <c r="P170" i="5"/>
  <c r="O170" i="5"/>
  <c r="N170" i="5"/>
  <c r="M170" i="5"/>
  <c r="L170" i="5"/>
  <c r="K170" i="5"/>
  <c r="J170" i="5"/>
  <c r="I170" i="5"/>
  <c r="R169" i="5"/>
  <c r="Q169" i="5"/>
  <c r="P169" i="5"/>
  <c r="O169" i="5"/>
  <c r="N169" i="5"/>
  <c r="M169" i="5"/>
  <c r="L169" i="5"/>
  <c r="K169" i="5"/>
  <c r="J169" i="5"/>
  <c r="I169" i="5"/>
  <c r="R168" i="5"/>
  <c r="Q168" i="5"/>
  <c r="P168" i="5"/>
  <c r="O168" i="5"/>
  <c r="N168" i="5"/>
  <c r="M168" i="5"/>
  <c r="L168" i="5"/>
  <c r="K168" i="5"/>
  <c r="J168" i="5"/>
  <c r="I168" i="5"/>
  <c r="R167" i="5"/>
  <c r="Q167" i="5"/>
  <c r="P167" i="5"/>
  <c r="O167" i="5"/>
  <c r="N167" i="5"/>
  <c r="M167" i="5"/>
  <c r="L167" i="5"/>
  <c r="K167" i="5"/>
  <c r="J167" i="5"/>
  <c r="I167" i="5"/>
  <c r="R166" i="5"/>
  <c r="Q166" i="5"/>
  <c r="P166" i="5"/>
  <c r="O166" i="5"/>
  <c r="N166" i="5"/>
  <c r="M166" i="5"/>
  <c r="L166" i="5"/>
  <c r="K166" i="5"/>
  <c r="J166" i="5"/>
  <c r="I166" i="5"/>
  <c r="R165" i="5"/>
  <c r="Q165" i="5"/>
  <c r="P165" i="5"/>
  <c r="O165" i="5"/>
  <c r="N165" i="5"/>
  <c r="M165" i="5"/>
  <c r="L165" i="5"/>
  <c r="K165" i="5"/>
  <c r="J165" i="5"/>
  <c r="I165" i="5"/>
  <c r="R164" i="5"/>
  <c r="Q164" i="5"/>
  <c r="P164" i="5"/>
  <c r="O164" i="5"/>
  <c r="N164" i="5"/>
  <c r="M164" i="5"/>
  <c r="L164" i="5"/>
  <c r="K164" i="5"/>
  <c r="J164" i="5"/>
  <c r="I164" i="5"/>
  <c r="R163" i="5"/>
  <c r="Q163" i="5"/>
  <c r="P163" i="5"/>
  <c r="O163" i="5"/>
  <c r="N163" i="5"/>
  <c r="M163" i="5"/>
  <c r="L163" i="5"/>
  <c r="K163" i="5"/>
  <c r="J163" i="5"/>
  <c r="I163" i="5"/>
  <c r="R162" i="5"/>
  <c r="Q162" i="5"/>
  <c r="P162" i="5"/>
  <c r="O162" i="5"/>
  <c r="N162" i="5"/>
  <c r="M162" i="5"/>
  <c r="L162" i="5"/>
  <c r="K162" i="5"/>
  <c r="J162" i="5"/>
  <c r="I162" i="5"/>
  <c r="R161" i="5"/>
  <c r="Q161" i="5"/>
  <c r="P161" i="5"/>
  <c r="O161" i="5"/>
  <c r="N161" i="5"/>
  <c r="M161" i="5"/>
  <c r="L161" i="5"/>
  <c r="K161" i="5"/>
  <c r="J161" i="5"/>
  <c r="I161" i="5"/>
  <c r="R160" i="5"/>
  <c r="Q160" i="5"/>
  <c r="P160" i="5"/>
  <c r="O160" i="5"/>
  <c r="N160" i="5"/>
  <c r="M160" i="5"/>
  <c r="L160" i="5"/>
  <c r="K160" i="5"/>
  <c r="J160" i="5"/>
  <c r="I160" i="5"/>
  <c r="R159" i="5"/>
  <c r="Q159" i="5"/>
  <c r="P159" i="5"/>
  <c r="O159" i="5"/>
  <c r="N159" i="5"/>
  <c r="M159" i="5"/>
  <c r="L159" i="5"/>
  <c r="K159" i="5"/>
  <c r="J159" i="5"/>
  <c r="I159" i="5"/>
  <c r="R158" i="5"/>
  <c r="Q158" i="5"/>
  <c r="P158" i="5"/>
  <c r="O158" i="5"/>
  <c r="N158" i="5"/>
  <c r="M158" i="5"/>
  <c r="L158" i="5"/>
  <c r="K158" i="5"/>
  <c r="J158" i="5"/>
  <c r="I158" i="5"/>
  <c r="R157" i="5"/>
  <c r="Q157" i="5"/>
  <c r="P157" i="5"/>
  <c r="O157" i="5"/>
  <c r="N157" i="5"/>
  <c r="M157" i="5"/>
  <c r="L157" i="5"/>
  <c r="K157" i="5"/>
  <c r="J157" i="5"/>
  <c r="I157" i="5"/>
  <c r="R156" i="5"/>
  <c r="Q156" i="5"/>
  <c r="P156" i="5"/>
  <c r="O156" i="5"/>
  <c r="N156" i="5"/>
  <c r="M156" i="5"/>
  <c r="L156" i="5"/>
  <c r="K156" i="5"/>
  <c r="J156" i="5"/>
  <c r="I156" i="5"/>
  <c r="R155" i="5"/>
  <c r="Q155" i="5"/>
  <c r="P155" i="5"/>
  <c r="O155" i="5"/>
  <c r="N155" i="5"/>
  <c r="M155" i="5"/>
  <c r="L155" i="5"/>
  <c r="K155" i="5"/>
  <c r="J155" i="5"/>
  <c r="I155" i="5"/>
  <c r="R154" i="5"/>
  <c r="Q154" i="5"/>
  <c r="P154" i="5"/>
  <c r="O154" i="5"/>
  <c r="N154" i="5"/>
  <c r="M154" i="5"/>
  <c r="L154" i="5"/>
  <c r="K154" i="5"/>
  <c r="J154" i="5"/>
  <c r="I154" i="5"/>
  <c r="R153" i="5"/>
  <c r="Q153" i="5"/>
  <c r="P153" i="5"/>
  <c r="O153" i="5"/>
  <c r="N153" i="5"/>
  <c r="M153" i="5"/>
  <c r="L153" i="5"/>
  <c r="K153" i="5"/>
  <c r="J153" i="5"/>
  <c r="I153" i="5"/>
  <c r="R152" i="5"/>
  <c r="Q152" i="5"/>
  <c r="P152" i="5"/>
  <c r="O152" i="5"/>
  <c r="N152" i="5"/>
  <c r="M152" i="5"/>
  <c r="L152" i="5"/>
  <c r="K152" i="5"/>
  <c r="J152" i="5"/>
  <c r="I152" i="5"/>
  <c r="R151" i="5"/>
  <c r="Q151" i="5"/>
  <c r="P151" i="5"/>
  <c r="O151" i="5"/>
  <c r="N151" i="5"/>
  <c r="M151" i="5"/>
  <c r="L151" i="5"/>
  <c r="K151" i="5"/>
  <c r="J151" i="5"/>
  <c r="I151" i="5"/>
  <c r="R150" i="5"/>
  <c r="Q150" i="5"/>
  <c r="P150" i="5"/>
  <c r="O150" i="5"/>
  <c r="N150" i="5"/>
  <c r="M150" i="5"/>
  <c r="L150" i="5"/>
  <c r="K150" i="5"/>
  <c r="J150" i="5"/>
  <c r="I150" i="5"/>
  <c r="R149" i="5"/>
  <c r="Q149" i="5"/>
  <c r="P149" i="5"/>
  <c r="O149" i="5"/>
  <c r="N149" i="5"/>
  <c r="M149" i="5"/>
  <c r="L149" i="5"/>
  <c r="K149" i="5"/>
  <c r="J149" i="5"/>
  <c r="I149" i="5"/>
  <c r="R148" i="5"/>
  <c r="Q148" i="5"/>
  <c r="P148" i="5"/>
  <c r="O148" i="5"/>
  <c r="N148" i="5"/>
  <c r="M148" i="5"/>
  <c r="L148" i="5"/>
  <c r="K148" i="5"/>
  <c r="J148" i="5"/>
  <c r="I148" i="5"/>
  <c r="R147" i="5"/>
  <c r="Q147" i="5"/>
  <c r="P147" i="5"/>
  <c r="O147" i="5"/>
  <c r="N147" i="5"/>
  <c r="M147" i="5"/>
  <c r="L147" i="5"/>
  <c r="K147" i="5"/>
  <c r="J147" i="5"/>
  <c r="I147" i="5"/>
  <c r="R146" i="5"/>
  <c r="Q146" i="5"/>
  <c r="P146" i="5"/>
  <c r="O146" i="5"/>
  <c r="N146" i="5"/>
  <c r="M146" i="5"/>
  <c r="L146" i="5"/>
  <c r="K146" i="5"/>
  <c r="J146" i="5"/>
  <c r="I146" i="5"/>
  <c r="R145" i="5"/>
  <c r="Q145" i="5"/>
  <c r="P145" i="5"/>
  <c r="O145" i="5"/>
  <c r="N145" i="5"/>
  <c r="M145" i="5"/>
  <c r="L145" i="5"/>
  <c r="K145" i="5"/>
  <c r="J145" i="5"/>
  <c r="I145" i="5"/>
  <c r="R144" i="5"/>
  <c r="Q144" i="5"/>
  <c r="P144" i="5"/>
  <c r="O144" i="5"/>
  <c r="N144" i="5"/>
  <c r="M144" i="5"/>
  <c r="L144" i="5"/>
  <c r="K144" i="5"/>
  <c r="J144" i="5"/>
  <c r="I144" i="5"/>
  <c r="R140" i="5"/>
  <c r="Q140" i="5"/>
  <c r="P140" i="5"/>
  <c r="O140" i="5"/>
  <c r="N140" i="5"/>
  <c r="M140" i="5"/>
  <c r="L140" i="5"/>
  <c r="K140" i="5"/>
  <c r="J140" i="5"/>
  <c r="I140" i="5"/>
  <c r="R139" i="5"/>
  <c r="Q139" i="5"/>
  <c r="P139" i="5"/>
  <c r="O139" i="5"/>
  <c r="N139" i="5"/>
  <c r="M139" i="5"/>
  <c r="L139" i="5"/>
  <c r="K139" i="5"/>
  <c r="J139" i="5"/>
  <c r="I139" i="5"/>
  <c r="R138" i="5"/>
  <c r="Q138" i="5"/>
  <c r="P138" i="5"/>
  <c r="O138" i="5"/>
  <c r="N138" i="5"/>
  <c r="M138" i="5"/>
  <c r="L138" i="5"/>
  <c r="K138" i="5"/>
  <c r="J138" i="5"/>
  <c r="I138" i="5"/>
  <c r="R137" i="5"/>
  <c r="Q137" i="5"/>
  <c r="P137" i="5"/>
  <c r="O137" i="5"/>
  <c r="N137" i="5"/>
  <c r="M137" i="5"/>
  <c r="L137" i="5"/>
  <c r="K137" i="5"/>
  <c r="J137" i="5"/>
  <c r="I137" i="5"/>
  <c r="R136" i="5"/>
  <c r="Q136" i="5"/>
  <c r="P136" i="5"/>
  <c r="O136" i="5"/>
  <c r="N136" i="5"/>
  <c r="M136" i="5"/>
  <c r="L136" i="5"/>
  <c r="K136" i="5"/>
  <c r="J136" i="5"/>
  <c r="I136" i="5"/>
  <c r="R135" i="5"/>
  <c r="Q135" i="5"/>
  <c r="P135" i="5"/>
  <c r="O135" i="5"/>
  <c r="N135" i="5"/>
  <c r="M135" i="5"/>
  <c r="L135" i="5"/>
  <c r="K135" i="5"/>
  <c r="J135" i="5"/>
  <c r="I135" i="5"/>
  <c r="R134" i="5"/>
  <c r="Q134" i="5"/>
  <c r="P134" i="5"/>
  <c r="O134" i="5"/>
  <c r="N134" i="5"/>
  <c r="M134" i="5"/>
  <c r="L134" i="5"/>
  <c r="K134" i="5"/>
  <c r="J134" i="5"/>
  <c r="I134" i="5"/>
  <c r="R133" i="5"/>
  <c r="Q133" i="5"/>
  <c r="P133" i="5"/>
  <c r="O133" i="5"/>
  <c r="N133" i="5"/>
  <c r="M133" i="5"/>
  <c r="L133" i="5"/>
  <c r="K133" i="5"/>
  <c r="J133" i="5"/>
  <c r="I133" i="5"/>
  <c r="R132" i="5"/>
  <c r="Q132" i="5"/>
  <c r="P132" i="5"/>
  <c r="O132" i="5"/>
  <c r="N132" i="5"/>
  <c r="M132" i="5"/>
  <c r="L132" i="5"/>
  <c r="K132" i="5"/>
  <c r="J132" i="5"/>
  <c r="I132" i="5"/>
  <c r="R131" i="5"/>
  <c r="Q131" i="5"/>
  <c r="P131" i="5"/>
  <c r="O131" i="5"/>
  <c r="N131" i="5"/>
  <c r="M131" i="5"/>
  <c r="L131" i="5"/>
  <c r="K131" i="5"/>
  <c r="J131" i="5"/>
  <c r="I131" i="5"/>
  <c r="R124" i="5"/>
  <c r="Q124" i="5"/>
  <c r="P124" i="5"/>
  <c r="O124" i="5"/>
  <c r="N124" i="5"/>
  <c r="M124" i="5"/>
  <c r="L124" i="5"/>
  <c r="K124" i="5"/>
  <c r="J124" i="5"/>
  <c r="I124" i="5"/>
  <c r="R123" i="5"/>
  <c r="Q123" i="5"/>
  <c r="P123" i="5"/>
  <c r="O123" i="5"/>
  <c r="N123" i="5"/>
  <c r="M123" i="5"/>
  <c r="L123" i="5"/>
  <c r="K123" i="5"/>
  <c r="J123" i="5"/>
  <c r="I123" i="5"/>
  <c r="R122" i="5"/>
  <c r="Q122" i="5"/>
  <c r="P122" i="5"/>
  <c r="O122" i="5"/>
  <c r="N122" i="5"/>
  <c r="M122" i="5"/>
  <c r="L122" i="5"/>
  <c r="K122" i="5"/>
  <c r="J122" i="5"/>
  <c r="I122" i="5"/>
  <c r="R121" i="5"/>
  <c r="Q121" i="5"/>
  <c r="P121" i="5"/>
  <c r="O121" i="5"/>
  <c r="N121" i="5"/>
  <c r="M121" i="5"/>
  <c r="L121" i="5"/>
  <c r="K121" i="5"/>
  <c r="J121" i="5"/>
  <c r="I121" i="5"/>
  <c r="R120" i="5"/>
  <c r="Q120" i="5"/>
  <c r="P120" i="5"/>
  <c r="O120" i="5"/>
  <c r="N120" i="5"/>
  <c r="M120" i="5"/>
  <c r="L120" i="5"/>
  <c r="K120" i="5"/>
  <c r="J120" i="5"/>
  <c r="I120" i="5"/>
  <c r="R119" i="5"/>
  <c r="Q119" i="5"/>
  <c r="P119" i="5"/>
  <c r="O119" i="5"/>
  <c r="N119" i="5"/>
  <c r="M119" i="5"/>
  <c r="L119" i="5"/>
  <c r="K119" i="5"/>
  <c r="J119" i="5"/>
  <c r="I119" i="5"/>
  <c r="R118" i="5"/>
  <c r="Q118" i="5"/>
  <c r="P118" i="5"/>
  <c r="O118" i="5"/>
  <c r="N118" i="5"/>
  <c r="M118" i="5"/>
  <c r="L118" i="5"/>
  <c r="K118" i="5"/>
  <c r="J118" i="5"/>
  <c r="I118" i="5"/>
  <c r="R117" i="5"/>
  <c r="Q117" i="5"/>
  <c r="P117" i="5"/>
  <c r="O117" i="5"/>
  <c r="N117" i="5"/>
  <c r="M117" i="5"/>
  <c r="L117" i="5"/>
  <c r="K117" i="5"/>
  <c r="J117" i="5"/>
  <c r="I117" i="5"/>
  <c r="R116" i="5"/>
  <c r="Q116" i="5"/>
  <c r="P116" i="5"/>
  <c r="O116" i="5"/>
  <c r="N116" i="5"/>
  <c r="M116" i="5"/>
  <c r="L116" i="5"/>
  <c r="K116" i="5"/>
  <c r="J116" i="5"/>
  <c r="I116" i="5"/>
  <c r="R115" i="5"/>
  <c r="Q115" i="5"/>
  <c r="P115" i="5"/>
  <c r="O115" i="5"/>
  <c r="N115" i="5"/>
  <c r="M115" i="5"/>
  <c r="L115" i="5"/>
  <c r="K115" i="5"/>
  <c r="J115" i="5"/>
  <c r="I115" i="5"/>
  <c r="R114" i="5"/>
  <c r="Q114" i="5"/>
  <c r="P114" i="5"/>
  <c r="O114" i="5"/>
  <c r="N114" i="5"/>
  <c r="M114" i="5"/>
  <c r="L114" i="5"/>
  <c r="K114" i="5"/>
  <c r="J114" i="5"/>
  <c r="I114" i="5"/>
  <c r="R113" i="5"/>
  <c r="Q113" i="5"/>
  <c r="P113" i="5"/>
  <c r="O113" i="5"/>
  <c r="N113" i="5"/>
  <c r="M113" i="5"/>
  <c r="L113" i="5"/>
  <c r="K113" i="5"/>
  <c r="J113" i="5"/>
  <c r="I113" i="5"/>
  <c r="R112" i="5"/>
  <c r="Q112" i="5"/>
  <c r="P112" i="5"/>
  <c r="O112" i="5"/>
  <c r="N112" i="5"/>
  <c r="M112" i="5"/>
  <c r="L112" i="5"/>
  <c r="K112" i="5"/>
  <c r="J112" i="5"/>
  <c r="I112" i="5"/>
  <c r="R111" i="5"/>
  <c r="Q111" i="5"/>
  <c r="P111" i="5"/>
  <c r="O111" i="5"/>
  <c r="N111" i="5"/>
  <c r="M111" i="5"/>
  <c r="L111" i="5"/>
  <c r="K111" i="5"/>
  <c r="J111" i="5"/>
  <c r="I111" i="5"/>
  <c r="R110" i="5"/>
  <c r="Q110" i="5"/>
  <c r="P110" i="5"/>
  <c r="O110" i="5"/>
  <c r="N110" i="5"/>
  <c r="M110" i="5"/>
  <c r="L110" i="5"/>
  <c r="K110" i="5"/>
  <c r="J110" i="5"/>
  <c r="I110" i="5"/>
  <c r="R109" i="5"/>
  <c r="Q109" i="5"/>
  <c r="P109" i="5"/>
  <c r="O109" i="5"/>
  <c r="N109" i="5"/>
  <c r="M109" i="5"/>
  <c r="L109" i="5"/>
  <c r="K109" i="5"/>
  <c r="J109" i="5"/>
  <c r="I109" i="5"/>
  <c r="R108" i="5"/>
  <c r="Q108" i="5"/>
  <c r="P108" i="5"/>
  <c r="O108" i="5"/>
  <c r="N108" i="5"/>
  <c r="M108" i="5"/>
  <c r="L108" i="5"/>
  <c r="K108" i="5"/>
  <c r="J108" i="5"/>
  <c r="I108" i="5"/>
  <c r="R107" i="5"/>
  <c r="Q107" i="5"/>
  <c r="P107" i="5"/>
  <c r="O107" i="5"/>
  <c r="N107" i="5"/>
  <c r="M107" i="5"/>
  <c r="L107" i="5"/>
  <c r="K107" i="5"/>
  <c r="J107" i="5"/>
  <c r="I107" i="5"/>
  <c r="R106" i="5"/>
  <c r="Q106" i="5"/>
  <c r="P106" i="5"/>
  <c r="O106" i="5"/>
  <c r="N106" i="5"/>
  <c r="M106" i="5"/>
  <c r="L106" i="5"/>
  <c r="K106" i="5"/>
  <c r="J106" i="5"/>
  <c r="I106" i="5"/>
  <c r="R105" i="5"/>
  <c r="Q105" i="5"/>
  <c r="P105" i="5"/>
  <c r="O105" i="5"/>
  <c r="N105" i="5"/>
  <c r="M105" i="5"/>
  <c r="L105" i="5"/>
  <c r="K105" i="5"/>
  <c r="J105" i="5"/>
  <c r="I105" i="5"/>
  <c r="R104" i="5"/>
  <c r="Q104" i="5"/>
  <c r="P104" i="5"/>
  <c r="O104" i="5"/>
  <c r="N104" i="5"/>
  <c r="M104" i="5"/>
  <c r="L104" i="5"/>
  <c r="K104" i="5"/>
  <c r="J104" i="5"/>
  <c r="I104" i="5"/>
  <c r="R103" i="5"/>
  <c r="Q103" i="5"/>
  <c r="P103" i="5"/>
  <c r="O103" i="5"/>
  <c r="N103" i="5"/>
  <c r="M103" i="5"/>
  <c r="L103" i="5"/>
  <c r="K103" i="5"/>
  <c r="J103" i="5"/>
  <c r="I103" i="5"/>
  <c r="R102" i="5"/>
  <c r="Q102" i="5"/>
  <c r="P102" i="5"/>
  <c r="O102" i="5"/>
  <c r="N102" i="5"/>
  <c r="M102" i="5"/>
  <c r="L102" i="5"/>
  <c r="K102" i="5"/>
  <c r="J102" i="5"/>
  <c r="I102" i="5"/>
  <c r="R101" i="5"/>
  <c r="Q101" i="5"/>
  <c r="P101" i="5"/>
  <c r="O101" i="5"/>
  <c r="N101" i="5"/>
  <c r="M101" i="5"/>
  <c r="L101" i="5"/>
  <c r="K101" i="5"/>
  <c r="J101" i="5"/>
  <c r="I101" i="5"/>
  <c r="R100" i="5"/>
  <c r="Q100" i="5"/>
  <c r="P100" i="5"/>
  <c r="O100" i="5"/>
  <c r="N100" i="5"/>
  <c r="M100" i="5"/>
  <c r="L100" i="5"/>
  <c r="K100" i="5"/>
  <c r="J100" i="5"/>
  <c r="I100" i="5"/>
  <c r="R99" i="5"/>
  <c r="Q99" i="5"/>
  <c r="P99" i="5"/>
  <c r="O99" i="5"/>
  <c r="N99" i="5"/>
  <c r="M99" i="5"/>
  <c r="L99" i="5"/>
  <c r="K99" i="5"/>
  <c r="J99" i="5"/>
  <c r="I99" i="5"/>
  <c r="R98" i="5"/>
  <c r="Q98" i="5"/>
  <c r="P98" i="5"/>
  <c r="O98" i="5"/>
  <c r="N98" i="5"/>
  <c r="M98" i="5"/>
  <c r="L98" i="5"/>
  <c r="K98" i="5"/>
  <c r="J98" i="5"/>
  <c r="I98" i="5"/>
  <c r="R97" i="5"/>
  <c r="Q97" i="5"/>
  <c r="P97" i="5"/>
  <c r="O97" i="5"/>
  <c r="N97" i="5"/>
  <c r="M97" i="5"/>
  <c r="L97" i="5"/>
  <c r="K97" i="5"/>
  <c r="J97" i="5"/>
  <c r="I97" i="5"/>
  <c r="R96" i="5"/>
  <c r="Q96" i="5"/>
  <c r="P96" i="5"/>
  <c r="O96" i="5"/>
  <c r="N96" i="5"/>
  <c r="M96" i="5"/>
  <c r="L96" i="5"/>
  <c r="K96" i="5"/>
  <c r="J96" i="5"/>
  <c r="I96" i="5"/>
  <c r="R95" i="5"/>
  <c r="Q95" i="5"/>
  <c r="P95" i="5"/>
  <c r="O95" i="5"/>
  <c r="N95" i="5"/>
  <c r="M95" i="5"/>
  <c r="L95" i="5"/>
  <c r="K95" i="5"/>
  <c r="J95" i="5"/>
  <c r="I95" i="5"/>
  <c r="R94" i="5"/>
  <c r="Q94" i="5"/>
  <c r="P94" i="5"/>
  <c r="O94" i="5"/>
  <c r="N94" i="5"/>
  <c r="M94" i="5"/>
  <c r="L94" i="5"/>
  <c r="K94" i="5"/>
  <c r="J94" i="5"/>
  <c r="I94" i="5"/>
  <c r="R93" i="5"/>
  <c r="Q93" i="5"/>
  <c r="P93" i="5"/>
  <c r="O93" i="5"/>
  <c r="N93" i="5"/>
  <c r="M93" i="5"/>
  <c r="L93" i="5"/>
  <c r="K93" i="5"/>
  <c r="J93" i="5"/>
  <c r="I93" i="5"/>
  <c r="R92" i="5"/>
  <c r="Q92" i="5"/>
  <c r="P92" i="5"/>
  <c r="O92" i="5"/>
  <c r="N92" i="5"/>
  <c r="M92" i="5"/>
  <c r="L92" i="5"/>
  <c r="K92" i="5"/>
  <c r="J92" i="5"/>
  <c r="I92" i="5"/>
  <c r="R91" i="5"/>
  <c r="Q91" i="5"/>
  <c r="P91" i="5"/>
  <c r="O91" i="5"/>
  <c r="N91" i="5"/>
  <c r="M91" i="5"/>
  <c r="L91" i="5"/>
  <c r="K91" i="5"/>
  <c r="J91" i="5"/>
  <c r="I91" i="5"/>
  <c r="R85" i="5"/>
  <c r="Q85" i="5"/>
  <c r="P85" i="5"/>
  <c r="O85" i="5"/>
  <c r="N85" i="5"/>
  <c r="M85" i="5"/>
  <c r="L85" i="5"/>
  <c r="K85" i="5"/>
  <c r="J85" i="5"/>
  <c r="I85" i="5"/>
  <c r="R84" i="5"/>
  <c r="Q84" i="5"/>
  <c r="P84" i="5"/>
  <c r="O84" i="5"/>
  <c r="N84" i="5"/>
  <c r="M84" i="5"/>
  <c r="L84" i="5"/>
  <c r="K84" i="5"/>
  <c r="J84" i="5"/>
  <c r="I84" i="5"/>
  <c r="R83" i="5"/>
  <c r="Q83" i="5"/>
  <c r="P83" i="5"/>
  <c r="O83" i="5"/>
  <c r="N83" i="5"/>
  <c r="M83" i="5"/>
  <c r="L83" i="5"/>
  <c r="K83" i="5"/>
  <c r="J83" i="5"/>
  <c r="I83" i="5"/>
  <c r="R82" i="5"/>
  <c r="Q82" i="5"/>
  <c r="P82" i="5"/>
  <c r="O82" i="5"/>
  <c r="N82" i="5"/>
  <c r="M82" i="5"/>
  <c r="L82" i="5"/>
  <c r="K82" i="5"/>
  <c r="J82" i="5"/>
  <c r="I82" i="5"/>
  <c r="R81" i="5"/>
  <c r="Q81" i="5"/>
  <c r="P81" i="5"/>
  <c r="O81" i="5"/>
  <c r="N81" i="5"/>
  <c r="M81" i="5"/>
  <c r="L81" i="5"/>
  <c r="K81" i="5"/>
  <c r="J81" i="5"/>
  <c r="I81" i="5"/>
  <c r="R80" i="5"/>
  <c r="Q80" i="5"/>
  <c r="P80" i="5"/>
  <c r="O80" i="5"/>
  <c r="N80" i="5"/>
  <c r="M80" i="5"/>
  <c r="L80" i="5"/>
  <c r="K80" i="5"/>
  <c r="J80" i="5"/>
  <c r="I80" i="5"/>
  <c r="R79" i="5"/>
  <c r="Q79" i="5"/>
  <c r="P79" i="5"/>
  <c r="O79" i="5"/>
  <c r="N79" i="5"/>
  <c r="M79" i="5"/>
  <c r="L79" i="5"/>
  <c r="K79" i="5"/>
  <c r="J79" i="5"/>
  <c r="I79" i="5"/>
  <c r="R78" i="5"/>
  <c r="Q78" i="5"/>
  <c r="P78" i="5"/>
  <c r="O78" i="5"/>
  <c r="N78" i="5"/>
  <c r="M78" i="5"/>
  <c r="L78" i="5"/>
  <c r="K78" i="5"/>
  <c r="J78" i="5"/>
  <c r="I78" i="5"/>
  <c r="R77" i="5"/>
  <c r="Q77" i="5"/>
  <c r="P77" i="5"/>
  <c r="O77" i="5"/>
  <c r="N77" i="5"/>
  <c r="M77" i="5"/>
  <c r="L77" i="5"/>
  <c r="K77" i="5"/>
  <c r="J77" i="5"/>
  <c r="I77" i="5"/>
  <c r="R76" i="5"/>
  <c r="Q76" i="5"/>
  <c r="P76" i="5"/>
  <c r="O76" i="5"/>
  <c r="N76" i="5"/>
  <c r="M76" i="5"/>
  <c r="L76" i="5"/>
  <c r="K76" i="5"/>
  <c r="J76" i="5"/>
  <c r="I76" i="5"/>
  <c r="R75" i="5"/>
  <c r="Q75" i="5"/>
  <c r="P75" i="5"/>
  <c r="O75" i="5"/>
  <c r="N75" i="5"/>
  <c r="M75" i="5"/>
  <c r="L75" i="5"/>
  <c r="K75" i="5"/>
  <c r="J75" i="5"/>
  <c r="I75" i="5"/>
  <c r="R74" i="5"/>
  <c r="Q74" i="5"/>
  <c r="P74" i="5"/>
  <c r="O74" i="5"/>
  <c r="N74" i="5"/>
  <c r="M74" i="5"/>
  <c r="L74" i="5"/>
  <c r="K74" i="5"/>
  <c r="J74" i="5"/>
  <c r="I74" i="5"/>
  <c r="R73" i="5"/>
  <c r="Q73" i="5"/>
  <c r="P73" i="5"/>
  <c r="O73" i="5"/>
  <c r="N73" i="5"/>
  <c r="M73" i="5"/>
  <c r="L73" i="5"/>
  <c r="K73" i="5"/>
  <c r="J73" i="5"/>
  <c r="I73" i="5"/>
  <c r="R72" i="5"/>
  <c r="Q72" i="5"/>
  <c r="P72" i="5"/>
  <c r="O72" i="5"/>
  <c r="N72" i="5"/>
  <c r="M72" i="5"/>
  <c r="L72" i="5"/>
  <c r="K72" i="5"/>
  <c r="J72" i="5"/>
  <c r="I72" i="5"/>
  <c r="R71" i="5"/>
  <c r="Q71" i="5"/>
  <c r="P71" i="5"/>
  <c r="O71" i="5"/>
  <c r="N71" i="5"/>
  <c r="M71" i="5"/>
  <c r="L71" i="5"/>
  <c r="K71" i="5"/>
  <c r="J71" i="5"/>
  <c r="I71" i="5"/>
  <c r="R70" i="5"/>
  <c r="Q70" i="5"/>
  <c r="P70" i="5"/>
  <c r="O70" i="5"/>
  <c r="N70" i="5"/>
  <c r="M70" i="5"/>
  <c r="L70" i="5"/>
  <c r="K70" i="5"/>
  <c r="J70" i="5"/>
  <c r="I70" i="5"/>
  <c r="R69" i="5"/>
  <c r="Q69" i="5"/>
  <c r="P69" i="5"/>
  <c r="O69" i="5"/>
  <c r="N69" i="5"/>
  <c r="M69" i="5"/>
  <c r="L69" i="5"/>
  <c r="K69" i="5"/>
  <c r="J69" i="5"/>
  <c r="I69" i="5"/>
  <c r="R68" i="5"/>
  <c r="Q68" i="5"/>
  <c r="P68" i="5"/>
  <c r="O68" i="5"/>
  <c r="N68" i="5"/>
  <c r="M68" i="5"/>
  <c r="L68" i="5"/>
  <c r="K68" i="5"/>
  <c r="J68" i="5"/>
  <c r="I68" i="5"/>
  <c r="R67" i="5"/>
  <c r="Q67" i="5"/>
  <c r="P67" i="5"/>
  <c r="O67" i="5"/>
  <c r="N67" i="5"/>
  <c r="M67" i="5"/>
  <c r="L67" i="5"/>
  <c r="K67" i="5"/>
  <c r="J67" i="5"/>
  <c r="I67" i="5"/>
  <c r="R66" i="5"/>
  <c r="Q66" i="5"/>
  <c r="P66" i="5"/>
  <c r="O66" i="5"/>
  <c r="N66" i="5"/>
  <c r="M66" i="5"/>
  <c r="L66" i="5"/>
  <c r="K66" i="5"/>
  <c r="J66" i="5"/>
  <c r="I66" i="5"/>
  <c r="R65" i="5"/>
  <c r="Q65" i="5"/>
  <c r="P65" i="5"/>
  <c r="O65" i="5"/>
  <c r="N65" i="5"/>
  <c r="M65" i="5"/>
  <c r="L65" i="5"/>
  <c r="K65" i="5"/>
  <c r="J65" i="5"/>
  <c r="I65" i="5"/>
  <c r="R64" i="5"/>
  <c r="Q64" i="5"/>
  <c r="P64" i="5"/>
  <c r="O64" i="5"/>
  <c r="N64" i="5"/>
  <c r="M64" i="5"/>
  <c r="L64" i="5"/>
  <c r="K64" i="5"/>
  <c r="J64" i="5"/>
  <c r="I64" i="5"/>
  <c r="R63" i="5"/>
  <c r="Q63" i="5"/>
  <c r="P63" i="5"/>
  <c r="O63" i="5"/>
  <c r="N63" i="5"/>
  <c r="M63" i="5"/>
  <c r="L63" i="5"/>
  <c r="K63" i="5"/>
  <c r="J63" i="5"/>
  <c r="I63" i="5"/>
  <c r="R62" i="5"/>
  <c r="Q62" i="5"/>
  <c r="P62" i="5"/>
  <c r="O62" i="5"/>
  <c r="N62" i="5"/>
  <c r="M62" i="5"/>
  <c r="L62" i="5"/>
  <c r="K62" i="5"/>
  <c r="J62" i="5"/>
  <c r="I62" i="5"/>
  <c r="R61" i="5"/>
  <c r="Q61" i="5"/>
  <c r="P61" i="5"/>
  <c r="O61" i="5"/>
  <c r="N61" i="5"/>
  <c r="M61" i="5"/>
  <c r="L61" i="5"/>
  <c r="K61" i="5"/>
  <c r="J61" i="5"/>
  <c r="I61" i="5"/>
  <c r="R60" i="5"/>
  <c r="Q60" i="5"/>
  <c r="P60" i="5"/>
  <c r="O60" i="5"/>
  <c r="N60" i="5"/>
  <c r="M60" i="5"/>
  <c r="L60" i="5"/>
  <c r="K60" i="5"/>
  <c r="J60" i="5"/>
  <c r="I60" i="5"/>
  <c r="R59" i="5"/>
  <c r="Q59" i="5"/>
  <c r="P59" i="5"/>
  <c r="O59" i="5"/>
  <c r="N59" i="5"/>
  <c r="M59" i="5"/>
  <c r="L59" i="5"/>
  <c r="K59" i="5"/>
  <c r="J59" i="5"/>
  <c r="I59" i="5"/>
  <c r="R58" i="5"/>
  <c r="Q58" i="5"/>
  <c r="P58" i="5"/>
  <c r="O58" i="5"/>
  <c r="N58" i="5"/>
  <c r="M58" i="5"/>
  <c r="L58" i="5"/>
  <c r="K58" i="5"/>
  <c r="J58" i="5"/>
  <c r="I58" i="5"/>
  <c r="R57" i="5"/>
  <c r="Q57" i="5"/>
  <c r="P57" i="5"/>
  <c r="O57" i="5"/>
  <c r="N57" i="5"/>
  <c r="M57" i="5"/>
  <c r="L57" i="5"/>
  <c r="K57" i="5"/>
  <c r="J57" i="5"/>
  <c r="I57" i="5"/>
  <c r="R56" i="5"/>
  <c r="Q56" i="5"/>
  <c r="P56" i="5"/>
  <c r="O56" i="5"/>
  <c r="N56" i="5"/>
  <c r="M56" i="5"/>
  <c r="L56" i="5"/>
  <c r="K56" i="5"/>
  <c r="J56" i="5"/>
  <c r="I56" i="5"/>
  <c r="R55" i="5"/>
  <c r="Q55" i="5"/>
  <c r="P55" i="5"/>
  <c r="O55" i="5"/>
  <c r="N55" i="5"/>
  <c r="M55" i="5"/>
  <c r="L55" i="5"/>
  <c r="K55" i="5"/>
  <c r="J55" i="5"/>
  <c r="I55" i="5"/>
  <c r="R54" i="5"/>
  <c r="Q54" i="5"/>
  <c r="P54" i="5"/>
  <c r="O54" i="5"/>
  <c r="N54" i="5"/>
  <c r="M54" i="5"/>
  <c r="L54" i="5"/>
  <c r="K54" i="5"/>
  <c r="J54" i="5"/>
  <c r="I54" i="5"/>
  <c r="R53" i="5"/>
  <c r="Q53" i="5"/>
  <c r="P53" i="5"/>
  <c r="O53" i="5"/>
  <c r="N53" i="5"/>
  <c r="M53" i="5"/>
  <c r="L53" i="5"/>
  <c r="K53" i="5"/>
  <c r="J53" i="5"/>
  <c r="I53" i="5"/>
  <c r="R52" i="5"/>
  <c r="Q52" i="5"/>
  <c r="P52" i="5"/>
  <c r="O52" i="5"/>
  <c r="N52" i="5"/>
  <c r="M52" i="5"/>
  <c r="L52" i="5"/>
  <c r="K52" i="5"/>
  <c r="J52" i="5"/>
  <c r="I52" i="5"/>
  <c r="R51" i="5"/>
  <c r="Q51" i="5"/>
  <c r="P51" i="5"/>
  <c r="O51" i="5"/>
  <c r="N51" i="5"/>
  <c r="M51" i="5"/>
  <c r="L51" i="5"/>
  <c r="K51" i="5"/>
  <c r="J51" i="5"/>
  <c r="I51" i="5"/>
  <c r="R50" i="5"/>
  <c r="Q50" i="5"/>
  <c r="P50" i="5"/>
  <c r="O50" i="5"/>
  <c r="N50" i="5"/>
  <c r="M50" i="5"/>
  <c r="L50" i="5"/>
  <c r="K50" i="5"/>
  <c r="J50" i="5"/>
  <c r="I50" i="5"/>
  <c r="R49" i="5"/>
  <c r="Q49" i="5"/>
  <c r="P49" i="5"/>
  <c r="O49" i="5"/>
  <c r="N49" i="5"/>
  <c r="M49" i="5"/>
  <c r="L49" i="5"/>
  <c r="K49" i="5"/>
  <c r="J49" i="5"/>
  <c r="I49" i="5"/>
  <c r="R48" i="5"/>
  <c r="Q48" i="5"/>
  <c r="P48" i="5"/>
  <c r="O48" i="5"/>
  <c r="N48" i="5"/>
  <c r="M48" i="5"/>
  <c r="L48" i="5"/>
  <c r="K48" i="5"/>
  <c r="J48" i="5"/>
  <c r="I48" i="5"/>
  <c r="R47" i="5"/>
  <c r="Q47" i="5"/>
  <c r="P47" i="5"/>
  <c r="O47" i="5"/>
  <c r="N47" i="5"/>
  <c r="M47" i="5"/>
  <c r="L47" i="5"/>
  <c r="K47" i="5"/>
  <c r="J47" i="5"/>
  <c r="I47" i="5"/>
  <c r="R46" i="5"/>
  <c r="Q46" i="5"/>
  <c r="P46" i="5"/>
  <c r="O46" i="5"/>
  <c r="N46" i="5"/>
  <c r="M46" i="5"/>
  <c r="L46" i="5"/>
  <c r="K46" i="5"/>
  <c r="J46" i="5"/>
  <c r="I46" i="5"/>
  <c r="R45" i="5"/>
  <c r="Q45" i="5"/>
  <c r="P45" i="5"/>
  <c r="O45" i="5"/>
  <c r="N45" i="5"/>
  <c r="M45" i="5"/>
  <c r="L45" i="5"/>
  <c r="K45" i="5"/>
  <c r="J45" i="5"/>
  <c r="I45" i="5"/>
  <c r="R44" i="5"/>
  <c r="Q44" i="5"/>
  <c r="P44" i="5"/>
  <c r="O44" i="5"/>
  <c r="N44" i="5"/>
  <c r="M44" i="5"/>
  <c r="L44" i="5"/>
  <c r="K44" i="5"/>
  <c r="J44" i="5"/>
  <c r="I44" i="5"/>
  <c r="R43" i="5"/>
  <c r="Q43" i="5"/>
  <c r="P43" i="5"/>
  <c r="O43" i="5"/>
  <c r="N43" i="5"/>
  <c r="M43" i="5"/>
  <c r="L43" i="5"/>
  <c r="K43" i="5"/>
  <c r="J43" i="5"/>
  <c r="I43" i="5"/>
  <c r="R42" i="5"/>
  <c r="Q42" i="5"/>
  <c r="P42" i="5"/>
  <c r="O42" i="5"/>
  <c r="N42" i="5"/>
  <c r="M42" i="5"/>
  <c r="L42" i="5"/>
  <c r="K42" i="5"/>
  <c r="J42" i="5"/>
  <c r="I42" i="5"/>
  <c r="R41" i="5"/>
  <c r="Q41" i="5"/>
  <c r="P41" i="5"/>
  <c r="O41" i="5"/>
  <c r="N41" i="5"/>
  <c r="M41" i="5"/>
  <c r="L41" i="5"/>
  <c r="K41" i="5"/>
  <c r="J41" i="5"/>
  <c r="I41" i="5"/>
  <c r="R40" i="5"/>
  <c r="Q40" i="5"/>
  <c r="P40" i="5"/>
  <c r="O40" i="5"/>
  <c r="N40" i="5"/>
  <c r="M40" i="5"/>
  <c r="L40" i="5"/>
  <c r="K40" i="5"/>
  <c r="J40" i="5"/>
  <c r="I40" i="5"/>
  <c r="R39" i="5"/>
  <c r="Q39" i="5"/>
  <c r="P39" i="5"/>
  <c r="O39" i="5"/>
  <c r="N39" i="5"/>
  <c r="M39" i="5"/>
  <c r="L39" i="5"/>
  <c r="K39" i="5"/>
  <c r="J39" i="5"/>
  <c r="I39" i="5"/>
  <c r="R38" i="5"/>
  <c r="Q38" i="5"/>
  <c r="P38" i="5"/>
  <c r="O38" i="5"/>
  <c r="N38" i="5"/>
  <c r="M38" i="5"/>
  <c r="L38" i="5"/>
  <c r="K38" i="5"/>
  <c r="J38" i="5"/>
  <c r="I38" i="5"/>
  <c r="R37" i="5"/>
  <c r="Q37" i="5"/>
  <c r="P37" i="5"/>
  <c r="O37" i="5"/>
  <c r="N37" i="5"/>
  <c r="M37" i="5"/>
  <c r="L37" i="5"/>
  <c r="K37" i="5"/>
  <c r="J37" i="5"/>
  <c r="I37" i="5"/>
  <c r="R36" i="5"/>
  <c r="Q36" i="5"/>
  <c r="P36" i="5"/>
  <c r="O36" i="5"/>
  <c r="N36" i="5"/>
  <c r="M36" i="5"/>
  <c r="L36" i="5"/>
  <c r="K36" i="5"/>
  <c r="J36" i="5"/>
  <c r="I36" i="5"/>
  <c r="R35" i="5"/>
  <c r="Q35" i="5"/>
  <c r="P35" i="5"/>
  <c r="O35" i="5"/>
  <c r="N35" i="5"/>
  <c r="M35" i="5"/>
  <c r="L35" i="5"/>
  <c r="K35" i="5"/>
  <c r="J35" i="5"/>
  <c r="I35" i="5"/>
  <c r="R34" i="5"/>
  <c r="Q34" i="5"/>
  <c r="P34" i="5"/>
  <c r="O34" i="5"/>
  <c r="N34" i="5"/>
  <c r="M34" i="5"/>
  <c r="L34" i="5"/>
  <c r="K34" i="5"/>
  <c r="J34" i="5"/>
  <c r="I34" i="5"/>
  <c r="R33" i="5"/>
  <c r="Q33" i="5"/>
  <c r="P33" i="5"/>
  <c r="O33" i="5"/>
  <c r="N33" i="5"/>
  <c r="M33" i="5"/>
  <c r="L33" i="5"/>
  <c r="K33" i="5"/>
  <c r="J33" i="5"/>
  <c r="I33" i="5"/>
  <c r="R32" i="5"/>
  <c r="Q32" i="5"/>
  <c r="P32" i="5"/>
  <c r="O32" i="5"/>
  <c r="N32" i="5"/>
  <c r="M32" i="5"/>
  <c r="L32" i="5"/>
  <c r="K32" i="5"/>
  <c r="J32" i="5"/>
  <c r="I32" i="5"/>
  <c r="R31" i="5"/>
  <c r="Q31" i="5"/>
  <c r="P31" i="5"/>
  <c r="O31" i="5"/>
  <c r="N31" i="5"/>
  <c r="M31" i="5"/>
  <c r="L31" i="5"/>
  <c r="K31" i="5"/>
  <c r="J31" i="5"/>
  <c r="I31" i="5"/>
  <c r="R30" i="5"/>
  <c r="Q30" i="5"/>
  <c r="P30" i="5"/>
  <c r="O30" i="5"/>
  <c r="N30" i="5"/>
  <c r="M30" i="5"/>
  <c r="L30" i="5"/>
  <c r="K30" i="5"/>
  <c r="J30" i="5"/>
  <c r="I30" i="5"/>
  <c r="R29" i="5"/>
  <c r="Q29" i="5"/>
  <c r="P29" i="5"/>
  <c r="O29" i="5"/>
  <c r="N29" i="5"/>
  <c r="M29" i="5"/>
  <c r="L29" i="5"/>
  <c r="K29" i="5"/>
  <c r="J29" i="5"/>
  <c r="I29" i="5"/>
  <c r="R28" i="5"/>
  <c r="Q28" i="5"/>
  <c r="P28" i="5"/>
  <c r="O28" i="5"/>
  <c r="N28" i="5"/>
  <c r="M28" i="5"/>
  <c r="L28" i="5"/>
  <c r="K28" i="5"/>
  <c r="J28" i="5"/>
  <c r="I28" i="5"/>
  <c r="R27" i="5"/>
  <c r="Q27" i="5"/>
  <c r="P27" i="5"/>
  <c r="O27" i="5"/>
  <c r="N27" i="5"/>
  <c r="M27" i="5"/>
  <c r="L27" i="5"/>
  <c r="K27" i="5"/>
  <c r="J27" i="5"/>
  <c r="I27" i="5"/>
  <c r="R26" i="5"/>
  <c r="Q26" i="5"/>
  <c r="P26" i="5"/>
  <c r="O26" i="5"/>
  <c r="N26" i="5"/>
  <c r="M26" i="5"/>
  <c r="L26" i="5"/>
  <c r="K26" i="5"/>
  <c r="J26" i="5"/>
  <c r="I26" i="5"/>
  <c r="R22" i="5"/>
  <c r="Q22" i="5"/>
  <c r="P22" i="5"/>
  <c r="O22" i="5"/>
  <c r="N22" i="5"/>
  <c r="M22" i="5"/>
  <c r="L22" i="5"/>
  <c r="K22" i="5"/>
  <c r="J22" i="5"/>
  <c r="I22" i="5"/>
  <c r="R21" i="5"/>
  <c r="Q21" i="5"/>
  <c r="P21" i="5"/>
  <c r="O21" i="5"/>
  <c r="N21" i="5"/>
  <c r="M21" i="5"/>
  <c r="L21" i="5"/>
  <c r="K21" i="5"/>
  <c r="J21" i="5"/>
  <c r="I21" i="5"/>
  <c r="R20" i="5"/>
  <c r="Q20" i="5"/>
  <c r="P20" i="5"/>
  <c r="O20" i="5"/>
  <c r="N20" i="5"/>
  <c r="M20" i="5"/>
  <c r="L20" i="5"/>
  <c r="K20" i="5"/>
  <c r="J20" i="5"/>
  <c r="I20" i="5"/>
  <c r="R19" i="5"/>
  <c r="Q19" i="5"/>
  <c r="P19" i="5"/>
  <c r="O19" i="5"/>
  <c r="N19" i="5"/>
  <c r="M19" i="5"/>
  <c r="L19" i="5"/>
  <c r="K19" i="5"/>
  <c r="J19" i="5"/>
  <c r="I19" i="5"/>
  <c r="R18" i="5"/>
  <c r="Q18" i="5"/>
  <c r="P18" i="5"/>
  <c r="O18" i="5"/>
  <c r="N18" i="5"/>
  <c r="M18" i="5"/>
  <c r="L18" i="5"/>
  <c r="K18" i="5"/>
  <c r="J18" i="5"/>
  <c r="I18" i="5"/>
  <c r="R17" i="5"/>
  <c r="Q17" i="5"/>
  <c r="P17" i="5"/>
  <c r="O17" i="5"/>
  <c r="N17" i="5"/>
  <c r="M17" i="5"/>
  <c r="L17" i="5"/>
  <c r="K17" i="5"/>
  <c r="J17" i="5"/>
  <c r="I17" i="5"/>
  <c r="R16" i="5"/>
  <c r="Q16" i="5"/>
  <c r="P16" i="5"/>
  <c r="O16" i="5"/>
  <c r="N16" i="5"/>
  <c r="M16" i="5"/>
  <c r="L16" i="5"/>
  <c r="K16" i="5"/>
  <c r="J16" i="5"/>
  <c r="I16" i="5"/>
  <c r="R11" i="5"/>
  <c r="Q11" i="5"/>
  <c r="P11" i="5"/>
  <c r="O11" i="5"/>
  <c r="N11" i="5"/>
  <c r="M11" i="5"/>
  <c r="L11" i="5"/>
  <c r="K11" i="5"/>
  <c r="J11" i="5"/>
  <c r="I11" i="5"/>
  <c r="H7" i="4"/>
  <c r="G7" i="4"/>
  <c r="G9" i="4"/>
  <c r="E6" i="4"/>
  <c r="F7" i="4"/>
  <c r="F9" i="4"/>
  <c r="E7" i="4"/>
  <c r="E9" i="4"/>
  <c r="D7" i="4"/>
  <c r="D9" i="4"/>
  <c r="C7" i="4"/>
  <c r="C9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C10" i="4"/>
  <c r="I11" i="4"/>
  <c r="G5" i="4"/>
  <c r="D10" i="4"/>
  <c r="E10" i="4"/>
  <c r="F10" i="4"/>
  <c r="G10" i="4"/>
  <c r="H10" i="4"/>
  <c r="D11" i="4"/>
  <c r="E11" i="4"/>
  <c r="F11" i="4"/>
  <c r="G11" i="4"/>
  <c r="H11" i="4"/>
  <c r="I12" i="4"/>
  <c r="D12" i="4"/>
  <c r="E12" i="4"/>
  <c r="F12" i="4"/>
  <c r="G12" i="4"/>
  <c r="H12" i="4"/>
  <c r="D13" i="4"/>
  <c r="E13" i="4"/>
  <c r="F13" i="4"/>
  <c r="G13" i="4"/>
  <c r="H13" i="4"/>
  <c r="D14" i="4"/>
  <c r="E14" i="4"/>
  <c r="F14" i="4"/>
  <c r="G14" i="4"/>
  <c r="H14" i="4"/>
  <c r="D15" i="4"/>
  <c r="E15" i="4"/>
  <c r="F15" i="4"/>
  <c r="G15" i="4"/>
  <c r="H15" i="4"/>
  <c r="D16" i="4"/>
  <c r="E16" i="4"/>
  <c r="F16" i="4"/>
  <c r="G16" i="4"/>
  <c r="H16" i="4"/>
  <c r="D17" i="4"/>
  <c r="E17" i="4"/>
  <c r="F17" i="4"/>
  <c r="G17" i="4"/>
  <c r="H17" i="4"/>
  <c r="D18" i="4"/>
  <c r="E18" i="4"/>
  <c r="F18" i="4"/>
  <c r="G18" i="4"/>
  <c r="H18" i="4"/>
  <c r="D19" i="4"/>
  <c r="E19" i="4"/>
  <c r="F19" i="4"/>
  <c r="G19" i="4"/>
  <c r="H19" i="4"/>
  <c r="D20" i="4"/>
  <c r="E20" i="4"/>
  <c r="F20" i="4"/>
  <c r="G20" i="4"/>
  <c r="H20" i="4"/>
  <c r="D21" i="4"/>
  <c r="E21" i="4"/>
  <c r="F21" i="4"/>
  <c r="G21" i="4"/>
  <c r="H21" i="4"/>
  <c r="D22" i="4"/>
  <c r="E22" i="4"/>
  <c r="F22" i="4"/>
  <c r="G22" i="4"/>
  <c r="H22" i="4"/>
  <c r="D23" i="4"/>
  <c r="E23" i="4"/>
  <c r="F23" i="4"/>
  <c r="G23" i="4"/>
  <c r="H23" i="4"/>
  <c r="K17" i="4"/>
  <c r="L17" i="4"/>
  <c r="D24" i="4"/>
  <c r="E24" i="4"/>
  <c r="F24" i="4"/>
  <c r="G24" i="4"/>
  <c r="H24" i="4"/>
  <c r="K18" i="4"/>
  <c r="L18" i="4"/>
  <c r="D25" i="4"/>
  <c r="E25" i="4"/>
  <c r="F25" i="4"/>
  <c r="G25" i="4"/>
  <c r="H25" i="4"/>
  <c r="K19" i="4"/>
  <c r="L19" i="4"/>
  <c r="D26" i="4"/>
  <c r="E26" i="4"/>
  <c r="F26" i="4"/>
  <c r="G26" i="4"/>
  <c r="H26" i="4"/>
  <c r="K20" i="4"/>
  <c r="L20" i="4"/>
  <c r="D27" i="4"/>
  <c r="E27" i="4"/>
  <c r="F27" i="4"/>
  <c r="G27" i="4"/>
  <c r="H27" i="4"/>
  <c r="D28" i="4"/>
  <c r="E28" i="4"/>
  <c r="F28" i="4"/>
  <c r="G28" i="4"/>
  <c r="H28" i="4"/>
  <c r="D29" i="4"/>
  <c r="E29" i="4"/>
  <c r="F29" i="4"/>
  <c r="G29" i="4"/>
  <c r="H29" i="4"/>
  <c r="D30" i="4"/>
  <c r="E30" i="4"/>
  <c r="F30" i="4"/>
  <c r="G30" i="4"/>
  <c r="H30" i="4"/>
  <c r="D31" i="4"/>
  <c r="E31" i="4"/>
  <c r="F31" i="4"/>
  <c r="G31" i="4"/>
  <c r="H31" i="4"/>
  <c r="D32" i="4"/>
  <c r="E32" i="4"/>
  <c r="F32" i="4"/>
  <c r="G32" i="4"/>
  <c r="H32" i="4"/>
  <c r="D33" i="4"/>
  <c r="E33" i="4"/>
  <c r="F33" i="4"/>
  <c r="G33" i="4"/>
  <c r="H33" i="4"/>
  <c r="D34" i="4"/>
  <c r="E34" i="4"/>
  <c r="F34" i="4"/>
  <c r="G34" i="4"/>
  <c r="H34" i="4"/>
  <c r="D35" i="4"/>
  <c r="E35" i="4"/>
  <c r="F35" i="4"/>
  <c r="G35" i="4"/>
  <c r="H35" i="4"/>
  <c r="D36" i="4"/>
  <c r="E36" i="4"/>
  <c r="F36" i="4"/>
  <c r="G36" i="4"/>
  <c r="H36" i="4"/>
  <c r="D37" i="4"/>
  <c r="E37" i="4"/>
  <c r="F37" i="4"/>
  <c r="G37" i="4"/>
  <c r="H37" i="4"/>
  <c r="D38" i="4"/>
  <c r="E38" i="4"/>
  <c r="F38" i="4"/>
  <c r="G38" i="4"/>
  <c r="H38" i="4"/>
  <c r="D39" i="4"/>
  <c r="E39" i="4"/>
  <c r="F39" i="4"/>
  <c r="G39" i="4"/>
  <c r="H39" i="4"/>
  <c r="D40" i="4"/>
  <c r="E40" i="4"/>
  <c r="F40" i="4"/>
  <c r="G40" i="4"/>
  <c r="H40" i="4"/>
  <c r="D41" i="4"/>
  <c r="E41" i="4"/>
  <c r="F41" i="4"/>
  <c r="G41" i="4"/>
  <c r="H41" i="4"/>
  <c r="D42" i="4"/>
  <c r="E42" i="4"/>
  <c r="F42" i="4"/>
  <c r="G42" i="4"/>
  <c r="H42" i="4"/>
  <c r="D43" i="4"/>
  <c r="E43" i="4"/>
  <c r="F43" i="4"/>
  <c r="G43" i="4"/>
  <c r="H43" i="4"/>
  <c r="D44" i="4"/>
  <c r="E44" i="4"/>
  <c r="F44" i="4"/>
  <c r="G44" i="4"/>
  <c r="H44" i="4"/>
  <c r="D45" i="4"/>
  <c r="E45" i="4"/>
  <c r="F45" i="4"/>
  <c r="G45" i="4"/>
  <c r="H45" i="4"/>
  <c r="D46" i="4"/>
  <c r="E46" i="4"/>
  <c r="F46" i="4"/>
  <c r="G46" i="4"/>
  <c r="H46" i="4"/>
  <c r="D47" i="4"/>
  <c r="E47" i="4"/>
  <c r="F47" i="4"/>
  <c r="G47" i="4"/>
  <c r="H47" i="4"/>
  <c r="D48" i="4"/>
  <c r="E48" i="4"/>
  <c r="F48" i="4"/>
  <c r="G48" i="4"/>
  <c r="H48" i="4"/>
  <c r="D49" i="4"/>
  <c r="E49" i="4"/>
  <c r="F49" i="4"/>
  <c r="G49" i="4"/>
  <c r="H49" i="4"/>
  <c r="D50" i="4"/>
  <c r="E50" i="4"/>
  <c r="F50" i="4"/>
  <c r="G50" i="4"/>
  <c r="H50" i="4"/>
  <c r="D51" i="4"/>
  <c r="E51" i="4"/>
  <c r="F51" i="4"/>
  <c r="G51" i="4"/>
  <c r="H51" i="4"/>
  <c r="D52" i="4"/>
  <c r="E52" i="4"/>
  <c r="F52" i="4"/>
  <c r="G52" i="4"/>
  <c r="H52" i="4"/>
  <c r="D53" i="4"/>
  <c r="E53" i="4"/>
  <c r="F53" i="4"/>
  <c r="G53" i="4"/>
  <c r="H53" i="4"/>
  <c r="D54" i="4"/>
  <c r="E54" i="4"/>
  <c r="F54" i="4"/>
  <c r="G54" i="4"/>
  <c r="F60" i="3"/>
  <c r="F57" i="3"/>
  <c r="F58" i="3"/>
  <c r="G59" i="3"/>
  <c r="F59" i="3"/>
  <c r="G58" i="3"/>
  <c r="C57" i="3"/>
  <c r="B49" i="3"/>
  <c r="F48" i="3"/>
  <c r="B55" i="3"/>
  <c r="B48" i="3"/>
  <c r="B54" i="3"/>
  <c r="B47" i="3"/>
  <c r="B53" i="3"/>
  <c r="B52" i="3"/>
  <c r="B18" i="3"/>
  <c r="B6" i="3"/>
  <c r="B9" i="3"/>
  <c r="B5" i="3"/>
  <c r="C5" i="3"/>
  <c r="B15" i="3"/>
  <c r="B16" i="3"/>
  <c r="F40" i="3"/>
  <c r="G40" i="3"/>
  <c r="F41" i="3"/>
  <c r="F42" i="3"/>
  <c r="G42" i="3"/>
  <c r="F43" i="3"/>
  <c r="F44" i="3"/>
  <c r="G44" i="3"/>
  <c r="F45" i="3"/>
  <c r="F46" i="3"/>
  <c r="G46" i="3"/>
  <c r="F50" i="3"/>
  <c r="G50" i="3"/>
  <c r="F51" i="3"/>
  <c r="F52" i="3"/>
  <c r="G52" i="3"/>
  <c r="F53" i="3"/>
  <c r="F54" i="3"/>
  <c r="G54" i="3"/>
  <c r="F55" i="3"/>
  <c r="F56" i="3"/>
  <c r="G56" i="3"/>
</calcChain>
</file>

<file path=xl/sharedStrings.xml><?xml version="1.0" encoding="utf-8"?>
<sst xmlns="http://schemas.openxmlformats.org/spreadsheetml/2006/main" count="1852" uniqueCount="700">
  <si>
    <t>in³</t>
  </si>
  <si>
    <t>cc</t>
  </si>
  <si>
    <t>HP</t>
  </si>
  <si>
    <t>L</t>
  </si>
  <si>
    <t>Total∆</t>
  </si>
  <si>
    <t>Intake Close</t>
  </si>
  <si>
    <t>:1</t>
  </si>
  <si>
    <t>Exaust Open</t>
  </si>
  <si>
    <t>Displacement</t>
  </si>
  <si>
    <t>Dur. @ .050"</t>
  </si>
  <si>
    <t>Deck Height</t>
  </si>
  <si>
    <t>"</t>
  </si>
  <si>
    <t>In</t>
  </si>
  <si>
    <t>Rev</t>
  </si>
  <si>
    <t>Intake Open</t>
  </si>
  <si>
    <t>Studs</t>
  </si>
  <si>
    <t>10mm</t>
  </si>
  <si>
    <t>8mm</t>
  </si>
  <si>
    <t>Advance</t>
  </si>
  <si>
    <t>mm</t>
  </si>
  <si>
    <t>5-Seed Manual</t>
  </si>
  <si>
    <t>Exaust Close</t>
  </si>
  <si>
    <t>Cylinders</t>
  </si>
  <si>
    <t>Camshaft Protractor</t>
  </si>
  <si>
    <t>X &amp; Y Axes</t>
  </si>
  <si>
    <t>° BTDC</t>
  </si>
  <si>
    <t>° ATDC</t>
  </si>
  <si>
    <t>° ABDC</t>
  </si>
  <si>
    <t xml:space="preserve">° BBDC </t>
  </si>
  <si>
    <t>Compression Ratio</t>
  </si>
  <si>
    <t>S↓ x  B→</t>
  </si>
  <si>
    <t>Displacement Calculator</t>
  </si>
  <si>
    <t>Change Only Blue Numbers</t>
  </si>
  <si>
    <t>°</t>
  </si>
  <si>
    <t>Duration ─────</t>
  </si>
  <si>
    <t>Dur. @ .050" ─  ─  ─</t>
  </si>
  <si>
    <t>∆</t>
  </si>
  <si>
    <t>Intake</t>
  </si>
  <si>
    <t>Exaust</t>
  </si>
  <si>
    <t>─────</t>
  </si>
  <si>
    <t>270°</t>
  </si>
  <si>
    <t xml:space="preserve"> 90°</t>
  </si>
  <si>
    <t>Squareness</t>
  </si>
  <si>
    <t xml:space="preserve">TDC </t>
  </si>
  <si>
    <t xml:space="preserve">BDC </t>
  </si>
  <si>
    <t>Magnesuim</t>
  </si>
  <si>
    <t>Aluminum</t>
  </si>
  <si>
    <t>Case</t>
  </si>
  <si>
    <t xml:space="preserve">Total        </t>
  </si>
  <si>
    <t>HP/in³</t>
  </si>
  <si>
    <t>☞</t>
  </si>
  <si>
    <t>Final</t>
  </si>
  <si>
    <t>⇓</t>
  </si>
  <si>
    <t>1st</t>
  </si>
  <si>
    <t>2nd</t>
  </si>
  <si>
    <t>3rd</t>
  </si>
  <si>
    <t>4th</t>
  </si>
  <si>
    <t>5th</t>
  </si>
  <si>
    <t>RPM</t>
  </si>
  <si>
    <t>In.</t>
  </si>
  <si>
    <t>Gear</t>
  </si>
  <si>
    <t>Ratio</t>
  </si>
  <si>
    <t>Gear Ratio, MPH &amp; RPM Table</t>
  </si>
  <si>
    <t>Increment</t>
  </si>
  <si>
    <t>9mm</t>
  </si>
  <si>
    <t>Unit</t>
  </si>
  <si>
    <t>mph</t>
  </si>
  <si>
    <t>kph</t>
  </si>
  <si>
    <t>Front</t>
  </si>
  <si>
    <t>Rear</t>
  </si>
  <si>
    <t>185/70R15,  25.2x7.3</t>
  </si>
  <si>
    <t>215/60R15,  25.2x8.5</t>
  </si>
  <si>
    <t>15x6 Rims</t>
  </si>
  <si>
    <t>14x6 Rims</t>
  </si>
  <si>
    <t>215/65R14,  25x8.5</t>
  </si>
  <si>
    <t>185/75R14,  24.9x7.3</t>
  </si>
  <si>
    <t>16x6 Rims</t>
  </si>
  <si>
    <t>215/55R16,  25.3x8.5</t>
  </si>
  <si>
    <t>185/65R16,  25.5x7.3</t>
  </si>
  <si>
    <t>Tire Size Calculator</t>
  </si>
  <si>
    <t>Aspect Ratio Profile</t>
  </si>
  <si>
    <t>mm Section Width</t>
  </si>
  <si>
    <t>In.  Section Width</t>
  </si>
  <si>
    <t>In.  Rim Diameter</t>
  </si>
  <si>
    <t>In.  Tire Diameter</t>
  </si>
  <si>
    <t>Ft.  Circumference</t>
  </si>
  <si>
    <t>In.  Sidewall Height</t>
  </si>
  <si>
    <t>VW Beetle Tire Sizes</t>
  </si>
  <si>
    <t>Rod Length (In)</t>
  </si>
  <si>
    <t>Bore (mm)</t>
  </si>
  <si>
    <t>Stroke (mm)</t>
  </si>
  <si>
    <t>165/80R15, 25.4x6.5</t>
  </si>
  <si>
    <t>Valve Lift</t>
  </si>
  <si>
    <t>Cam Lift</t>
  </si>
  <si>
    <t>VW Aircooled Camshafts</t>
  </si>
  <si>
    <t>Valve Lift @ Rocker Ratio</t>
  </si>
  <si>
    <t xml:space="preserve">      At .050"</t>
  </si>
  <si>
    <t>Lobe</t>
  </si>
  <si>
    <t xml:space="preserve">      Cam Lift</t>
  </si>
  <si>
    <t>Inake</t>
  </si>
  <si>
    <t>Comments</t>
  </si>
  <si>
    <t>244°</t>
  </si>
  <si>
    <t>110°</t>
  </si>
  <si>
    <t>1.1 RR</t>
  </si>
  <si>
    <t>Crower</t>
  </si>
  <si>
    <t>268°</t>
  </si>
  <si>
    <t>227°</t>
  </si>
  <si>
    <t>Fair Idle, Good Bottom End &amp; Mid-Range Power, Good Torque 1000-5000+rpm</t>
  </si>
  <si>
    <t>260°</t>
  </si>
  <si>
    <t>220°</t>
  </si>
  <si>
    <t>Smooth Idle, Stock Super Torque, 1000-5000rpm</t>
  </si>
  <si>
    <t>276°</t>
  </si>
  <si>
    <t>284°</t>
  </si>
  <si>
    <t>234°</t>
  </si>
  <si>
    <t>107°</t>
  </si>
  <si>
    <t xml:space="preserve">Comp Profile, Super Torque Mid-Range for 1.6L, 2000-7000rpm </t>
  </si>
  <si>
    <t>290°</t>
  </si>
  <si>
    <t>252°</t>
  </si>
  <si>
    <t>Fair Idle, High Torque Top End Emphasized, for ≤1.8L, 2500-7500+rpm</t>
  </si>
  <si>
    <t>298°</t>
  </si>
  <si>
    <t>Fair Idle, Broad Mid-Range &amp; Top End, for ≤2.2L, 2500-7500+rpm</t>
  </si>
  <si>
    <t>306°</t>
  </si>
  <si>
    <t>272°</t>
  </si>
  <si>
    <t>Fair Idle. Broad Mid-Range &amp; Top End for Higher Compression, 3000-8000+rpm</t>
  </si>
  <si>
    <t>312°</t>
  </si>
  <si>
    <t>280°</t>
  </si>
  <si>
    <t>Rough Idle, Strong Mid-range &amp; Top End, ≥2.0L with Higher Compression, 3500-8500+rpm</t>
  </si>
  <si>
    <t>CB Performance</t>
  </si>
  <si>
    <t>262°</t>
  </si>
  <si>
    <t>216°</t>
  </si>
  <si>
    <t>108°</t>
  </si>
  <si>
    <t>Street, 1500-4500rpm, Mild Engine Mods</t>
  </si>
  <si>
    <t>266°</t>
  </si>
  <si>
    <t>236°</t>
  </si>
  <si>
    <t>274°</t>
  </si>
  <si>
    <t>Ratio Rocker Street, 1500-4500rpm, Mild Engine Mods</t>
  </si>
  <si>
    <t>Street &amp; Bracket Race, Off Road</t>
  </si>
  <si>
    <t>Super Street &amp; Off Road, Dual Carbs, Larger cc</t>
  </si>
  <si>
    <t>273°</t>
  </si>
  <si>
    <t>Street &amp; Bracket Race, Good Milage &amp; BHP</t>
  </si>
  <si>
    <t>278°</t>
  </si>
  <si>
    <t>248°</t>
  </si>
  <si>
    <t>Ratio Rocker Hot Street, Head Work, Dual Carbs, etc...</t>
  </si>
  <si>
    <t>Super Street, Dual Carbs, Larger cc</t>
  </si>
  <si>
    <t>250°</t>
  </si>
  <si>
    <t>282°</t>
  </si>
  <si>
    <t>286°</t>
  </si>
  <si>
    <t>256°</t>
  </si>
  <si>
    <t>Hot Street &amp; Off Road, Head Work, Dual Carbs, etc...</t>
  </si>
  <si>
    <t>300°</t>
  </si>
  <si>
    <t>All Out Competition</t>
  </si>
  <si>
    <t>314°</t>
  </si>
  <si>
    <t>254°</t>
  </si>
  <si>
    <t>High RPM Midget Racing, etc...</t>
  </si>
  <si>
    <t>322°</t>
  </si>
  <si>
    <t>325°</t>
  </si>
  <si>
    <t>326°</t>
  </si>
  <si>
    <t>Off Road, Wide Power Band</t>
  </si>
  <si>
    <t>222°</t>
  </si>
  <si>
    <t>246°</t>
  </si>
  <si>
    <t>264°</t>
  </si>
  <si>
    <t>232°</t>
  </si>
  <si>
    <t>Street &amp; Bracket Race, Good Low &amp; Mid Range</t>
  </si>
  <si>
    <t>226°</t>
  </si>
  <si>
    <t>Hot Street, Head Work, Dual Carbs</t>
  </si>
  <si>
    <t>295°</t>
  </si>
  <si>
    <t>301°</t>
  </si>
  <si>
    <t>308°</t>
  </si>
  <si>
    <t>320°</t>
  </si>
  <si>
    <t>292°</t>
  </si>
  <si>
    <t>328°</t>
  </si>
  <si>
    <t>High RPM Midget Racing</t>
  </si>
  <si>
    <t>330°</t>
  </si>
  <si>
    <t>303°</t>
  </si>
  <si>
    <t>Drag Race Competition</t>
  </si>
  <si>
    <t>279°</t>
  </si>
  <si>
    <t>310°</t>
  </si>
  <si>
    <t>275°</t>
  </si>
  <si>
    <t>332°</t>
  </si>
  <si>
    <t>288°</t>
  </si>
  <si>
    <t>317°</t>
  </si>
  <si>
    <t>210°</t>
  </si>
  <si>
    <t>Uses Stock Valve Train &amp; Carbs</t>
  </si>
  <si>
    <t>214°</t>
  </si>
  <si>
    <t>HIgh Performance requires Hi-Rev Lifters &amp; Springs</t>
  </si>
  <si>
    <t>261°</t>
  </si>
  <si>
    <t>269°</t>
  </si>
  <si>
    <t>196°</t>
  </si>
  <si>
    <t>Stock Street</t>
  </si>
  <si>
    <t>263°</t>
  </si>
  <si>
    <t>207°</t>
  </si>
  <si>
    <t>Street, Single or Dual Carbs</t>
  </si>
  <si>
    <t>Mild Street, Single or Dual Carbs</t>
  </si>
  <si>
    <t>Strong Mid-Range or Top End</t>
  </si>
  <si>
    <t>Full Race, Dual Carbs, Dual Idle</t>
  </si>
  <si>
    <t>Hot Street, Dual Carbs</t>
  </si>
  <si>
    <t>Hot Street, Good Mid-Range &amp; Top End</t>
  </si>
  <si>
    <t>305°</t>
  </si>
  <si>
    <t>249°</t>
  </si>
  <si>
    <t>Road Race for Kit Cars, Dual Carbs, Dual Idle</t>
  </si>
  <si>
    <t>Engle</t>
  </si>
  <si>
    <t>VZ14</t>
  </si>
  <si>
    <t>242°</t>
  </si>
  <si>
    <t>VZ15</t>
  </si>
  <si>
    <t>VZ25</t>
  </si>
  <si>
    <t>VZ30</t>
  </si>
  <si>
    <t>VZ35</t>
  </si>
  <si>
    <t>309°</t>
  </si>
  <si>
    <t>Off Road &amp; Drag Race Competition</t>
  </si>
  <si>
    <t>W100</t>
  </si>
  <si>
    <t>W110</t>
  </si>
  <si>
    <t>247°</t>
  </si>
  <si>
    <t>W120</t>
  </si>
  <si>
    <t>294°</t>
  </si>
  <si>
    <t>253°</t>
  </si>
  <si>
    <t>W125</t>
  </si>
  <si>
    <t>W130</t>
  </si>
  <si>
    <t>267°</t>
  </si>
  <si>
    <t>W140</t>
  </si>
  <si>
    <t>313°</t>
  </si>
  <si>
    <t>Drag Race Competition Only</t>
  </si>
  <si>
    <t>TCS10</t>
  </si>
  <si>
    <t>112°</t>
  </si>
  <si>
    <t>TCS20</t>
  </si>
  <si>
    <t>TCS30</t>
  </si>
  <si>
    <t>FK7</t>
  </si>
  <si>
    <t>FK8</t>
  </si>
  <si>
    <t>Large Displacement, Street &amp; Strip or Off Road</t>
  </si>
  <si>
    <t>FK10</t>
  </si>
  <si>
    <t>FK41</t>
  </si>
  <si>
    <t>239°</t>
  </si>
  <si>
    <t>FK42</t>
  </si>
  <si>
    <t>245°</t>
  </si>
  <si>
    <t>FK43</t>
  </si>
  <si>
    <t>281°</t>
  </si>
  <si>
    <t>FK44</t>
  </si>
  <si>
    <t>287°</t>
  </si>
  <si>
    <t>258°</t>
  </si>
  <si>
    <t>FK45</t>
  </si>
  <si>
    <t>Off Road Comp/Drag, Competition Only, 3500-7500rpm</t>
  </si>
  <si>
    <t>FK46</t>
  </si>
  <si>
    <t>271°</t>
  </si>
  <si>
    <t>Off Road Comp/Drag, Competition Only,3800-7800rpm</t>
  </si>
  <si>
    <t>FK47</t>
  </si>
  <si>
    <t>Off Road Comp/Drag, Competition Only,4000-8000rpm</t>
  </si>
  <si>
    <t>FK48</t>
  </si>
  <si>
    <t>Off Road Comp/Drag, Competition Only,4200-8200rpm</t>
  </si>
  <si>
    <t>FK65</t>
  </si>
  <si>
    <t>FK87</t>
  </si>
  <si>
    <t>FK89</t>
  </si>
  <si>
    <t>FK91</t>
  </si>
  <si>
    <t>FK97</t>
  </si>
  <si>
    <t>FK98</t>
  </si>
  <si>
    <t>KB424</t>
  </si>
  <si>
    <t>334°</t>
  </si>
  <si>
    <t>304°</t>
  </si>
  <si>
    <t>KB425</t>
  </si>
  <si>
    <t>338°</t>
  </si>
  <si>
    <t>KB435</t>
  </si>
  <si>
    <t>333°</t>
  </si>
  <si>
    <t>Scat</t>
  </si>
  <si>
    <t>C20</t>
  </si>
  <si>
    <t>238°</t>
  </si>
  <si>
    <t>C25</t>
  </si>
  <si>
    <t>235°</t>
  </si>
  <si>
    <t>Bus &amp; Off Road, Small cc, 5000rpm max</t>
  </si>
  <si>
    <t>C35</t>
  </si>
  <si>
    <t>C45</t>
  </si>
  <si>
    <t>296°</t>
  </si>
  <si>
    <t>Steet &amp; Strip, Heavy Idle, 4500-6500rpm</t>
  </si>
  <si>
    <t>C55</t>
  </si>
  <si>
    <t>Circle Track, Good Mid-Range, 4500-6500rpm</t>
  </si>
  <si>
    <t>C65</t>
  </si>
  <si>
    <t>318°</t>
  </si>
  <si>
    <t>Super Vee etc.., Variable RPM Application</t>
  </si>
  <si>
    <t>C75</t>
  </si>
  <si>
    <t>342°</t>
  </si>
  <si>
    <t>Drag Race Competition, Heavy Car, 5000-7000rpm</t>
  </si>
  <si>
    <t>C85</t>
  </si>
  <si>
    <t>C89</t>
  </si>
  <si>
    <t>C95</t>
  </si>
  <si>
    <t>All Around Competition. Large Displacement</t>
  </si>
  <si>
    <t>Web-Cam</t>
  </si>
  <si>
    <t>Stock FVEE</t>
  </si>
  <si>
    <t>Factory Spec, Formula Vee</t>
  </si>
  <si>
    <t>Type 4 Stock</t>
  </si>
  <si>
    <t>224°</t>
  </si>
  <si>
    <t>73/86</t>
  </si>
  <si>
    <t>Type 4 Cam, 1000-4500rpm, Head Work &amp; Better Carburation Improves Top End</t>
  </si>
  <si>
    <t>86A</t>
  </si>
  <si>
    <t>86B</t>
  </si>
  <si>
    <t>86C</t>
  </si>
  <si>
    <t>Type 4, Hot Street, 4000-7500rpm, Dual 2 bbl Carbs, 10:1 CR, 1.3 RR</t>
  </si>
  <si>
    <t>86B/86C</t>
  </si>
  <si>
    <t>265°</t>
  </si>
  <si>
    <t>Type 4, Hydraulic, 1000-4800rpm, Dual Carbs or Aftermarket EFI, 8-8.3:1 CR, 1.3 RR</t>
  </si>
  <si>
    <t>107i</t>
  </si>
  <si>
    <t>255°</t>
  </si>
  <si>
    <t>225°</t>
  </si>
  <si>
    <t>109/119</t>
  </si>
  <si>
    <t>240°</t>
  </si>
  <si>
    <t>109/163</t>
  </si>
  <si>
    <t>Hot Street &amp; Off Road, Strong Mid &amp; High RPM</t>
  </si>
  <si>
    <t>110/119</t>
  </si>
  <si>
    <t xml:space="preserve">Class 1-1600 Off Road Racers with RESTRICTOR PLATES, </t>
  </si>
  <si>
    <t>110/163</t>
  </si>
  <si>
    <t>121/125</t>
  </si>
  <si>
    <t xml:space="preserve">Most Power for Big Engines, 2500-6500rpm, Dual 2bbl Carbs, </t>
  </si>
  <si>
    <t>122/125</t>
  </si>
  <si>
    <t xml:space="preserve">Most Power for Big Engines, Street &amp; Off Road Great Sand Dune, Head Work &amp; Dual 2bbl Carbs, </t>
  </si>
  <si>
    <t>Off Road Competition</t>
  </si>
  <si>
    <t>206°</t>
  </si>
  <si>
    <t>163/86B</t>
  </si>
  <si>
    <t>Hot Street, Large Displacement, 3000-7200rom, 10-11:1 CR, Head Work, Dual 2bbl Carbs</t>
  </si>
  <si>
    <t>Violent Cam Profile, ≥4500rpm,  Extensive Head Work, Dual 2bbl Carbs, 13:1 CR</t>
  </si>
  <si>
    <t>218/119</t>
  </si>
  <si>
    <t>Good Mid to High RPM for Drag Cars, N/A, ≥4000rpm, ≥11:1 CR, Extensive Head Work &amp; Dual 2bbl Carbs</t>
  </si>
  <si>
    <t>324°</t>
  </si>
  <si>
    <t>285°</t>
  </si>
  <si>
    <t>Tye 4, Large Displacement, Carb Dragster &amp; Pro Sedans,  4000-7500rpm, ≥11:1 CR, Extensive Head Work &amp; Dual 2bbl Carbs</t>
  </si>
  <si>
    <t>Type 4, Large Displacement, Carb Dragster &amp; Pro Sedans,  ≥4500rpm, ≥12:1 CR, Extensive Head Work &amp; Dual 2bbl Carbs</t>
  </si>
  <si>
    <t>Gene Berg</t>
  </si>
  <si>
    <t>GB295</t>
  </si>
  <si>
    <t>Small Capacity, Short Course, Off Road</t>
  </si>
  <si>
    <t>GB296</t>
  </si>
  <si>
    <t>1.3-1.7L, Single 2 bbl or Dual Carbs</t>
  </si>
  <si>
    <t>GB296A</t>
  </si>
  <si>
    <t>1.3-1.7L, Short Course, Heavy Street Car</t>
  </si>
  <si>
    <t>GB297</t>
  </si>
  <si>
    <t>All Around Street Cam, ≤5800rpm</t>
  </si>
  <si>
    <t>GB297A</t>
  </si>
  <si>
    <t>Ditto. Needs Head Work, ≥1.6L</t>
  </si>
  <si>
    <t>GB300</t>
  </si>
  <si>
    <t>≥1.7L, 1500-5500rpm, Dual Carbs</t>
  </si>
  <si>
    <t>GB300A</t>
  </si>
  <si>
    <t>Ditto. Wilder RPM Range, Good Bottom End</t>
  </si>
  <si>
    <t>GB301</t>
  </si>
  <si>
    <t>Steet, with Dual Carbs &amp; Head Work</t>
  </si>
  <si>
    <t>GB302</t>
  </si>
  <si>
    <t>≥1.9L, Dual Carbs &amp; Head Work</t>
  </si>
  <si>
    <t>GB302A</t>
  </si>
  <si>
    <t>Ditto. Wilder RPM Range, Dual Carbs</t>
  </si>
  <si>
    <t>GB303</t>
  </si>
  <si>
    <t>More Top End, Less Low End, ≥4000rpm</t>
  </si>
  <si>
    <t>GB307</t>
  </si>
  <si>
    <t>237°</t>
  </si>
  <si>
    <t>≥1.6L, Single 2 bbl or Dual 1bbl Carbs</t>
  </si>
  <si>
    <t>GB308</t>
  </si>
  <si>
    <t>≥1.6L, Dual Carbs, 1000-5000rpm</t>
  </si>
  <si>
    <t>GB309</t>
  </si>
  <si>
    <t>297°</t>
  </si>
  <si>
    <t>Small to Mid-Size Motor, Ratio Rocker Arms</t>
  </si>
  <si>
    <t>GB310</t>
  </si>
  <si>
    <t>257°</t>
  </si>
  <si>
    <t>Street or Buggy, Large Motor, Head Work &amp; Exaust</t>
  </si>
  <si>
    <t>GB311</t>
  </si>
  <si>
    <t>Large Motor, Head Work, 3500-7000rpm</t>
  </si>
  <si>
    <t>GB315</t>
  </si>
  <si>
    <t>GB316</t>
  </si>
  <si>
    <t>329°</t>
  </si>
  <si>
    <t>GB316B</t>
  </si>
  <si>
    <t>GB317</t>
  </si>
  <si>
    <t>Ditto</t>
  </si>
  <si>
    <t>GB318</t>
  </si>
  <si>
    <t>291°</t>
  </si>
  <si>
    <t>GB319</t>
  </si>
  <si>
    <t>GB319A</t>
  </si>
  <si>
    <t>GB319B</t>
  </si>
  <si>
    <t>Fat Performance</t>
  </si>
  <si>
    <t>FC400</t>
  </si>
  <si>
    <t>Mild Street, Small Displacement, Low Compression</t>
  </si>
  <si>
    <t>FC410</t>
  </si>
  <si>
    <t>Street, Single or Dual Carb, ≤2.0L</t>
  </si>
  <si>
    <t>FC411</t>
  </si>
  <si>
    <t>Dual Lobe, Off Road, Class 9 Competition</t>
  </si>
  <si>
    <t>FC15</t>
  </si>
  <si>
    <t>FC20</t>
  </si>
  <si>
    <t>Off Road, ≥1.6L, Head Work</t>
  </si>
  <si>
    <t>FC25</t>
  </si>
  <si>
    <t>Off Road, Large Displacement, Single or Dual Carb</t>
  </si>
  <si>
    <t>FC30</t>
  </si>
  <si>
    <t>Off Road, Large Displacement, Head Work, Carb, etc...</t>
  </si>
  <si>
    <t>1000-5500rpm, 8-8¼:1, 1.2-1.7L</t>
  </si>
  <si>
    <t>Type 4, ≤4800rpm, 8-8¼:1 CR, 914-4 Grind, EFI Ready, 1.3 RR</t>
  </si>
  <si>
    <t>Type 4, 1500-5500rpm, 8-8.¼:1 CR, Head Work &amp; Dual 2bbl Carbs</t>
  </si>
  <si>
    <t>1000-5000rpm, 7½-8:1</t>
  </si>
  <si>
    <t>3000-6500rpm, 9-9½:1</t>
  </si>
  <si>
    <t>Drag Race Competition, 1½ RR</t>
  </si>
  <si>
    <t>Type 4, Street &amp; Off Road, 1500-6000rpm, 8½-9:1 CR, 1.3 RR</t>
  </si>
  <si>
    <t>Type 4, Hot Street, 3000-7000rpm, Dual 2 bbl Carbs, 9-9½:1 CR, 1.3 RR</t>
  </si>
  <si>
    <t>Type 4, Hot Street, 3500-7000rpm, Dual 2 bbl Carbs, 9½-10:1 CR, 1.3 RR</t>
  </si>
  <si>
    <t>Small Displacement Tremendious Torque, 600-4000rpm, 8-8½:1 CR</t>
  </si>
  <si>
    <t xml:space="preserve">Street, Good Mid &amp; Top End, 1300-5500rpm, 8-8½:1 CR, Dual 1bb or 2bbl Carbs, </t>
  </si>
  <si>
    <t>Hot Street &amp; Off Road, Large Displacement, 2500-6800rpms, 9½-10:1, Dual 2bbl Carbs</t>
  </si>
  <si>
    <t xml:space="preserve">Type 4, Hot Street, 1500-5500rpm, 8-8½:1 CR, Headwork &amp; Dual 1bbl or 2bbl Carbs, </t>
  </si>
  <si>
    <t>Type 4, 1500-6000rpm, Good Midrange, 8½-9:1 CR, 1.3 RR</t>
  </si>
  <si>
    <t>Dual Lobe, Off Road Comp, Class ½ &amp; 5/1600</t>
  </si>
  <si>
    <t>Class ½ 1600 off road racers with RESTRICTOR PLATES, 1500-5800rpm, Dual 2 bbl Carbs, 8-8½:1 CR</t>
  </si>
  <si>
    <t>Class ½ 1600 off road racers with RESTRICTOR PLATES, 1500-5800rpm, Dual 2 bbl Carbs, 8-8½5:1 CR</t>
  </si>
  <si>
    <t>2000-6000rpm,8¾-9¼:1</t>
  </si>
  <si>
    <t>Type 4, Hydraulic, Factory Waterboxer Grind, 1000-4000rpm, Aftermarket Carbs or EFI, 7¾-8¼:1 CR, 1.3 RR</t>
  </si>
  <si>
    <t>Hot Street &amp; Off Road, 2000-6000rpm, Dual 2 bbl Carbs, 8¾-9.5:1 CR, 1½ RR</t>
  </si>
  <si>
    <r>
      <t>1000-5000rpm, 8-8½:1,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</si>
  <si>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1000-5000rpm, 7¾-8:1,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</si>
  <si>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t>Cheater Cam, Mild Street, ≥5000rpm</t>
  </si>
  <si>
    <t>Street, Strong Mid-Range, ≥5000rpm</t>
  </si>
  <si>
    <t>Type 4, Street &amp; Off Road, 2000-5000rpm, 7¾-8¼:1 CR,  1.3 RR</t>
  </si>
  <si>
    <t>Street, Turbo w/112° Lobe Cntr, 1.8-2.1L Optmized, 1000-5500rpm, 7¾-8¾:1 CR, 5800rpm 1½ RR</t>
  </si>
  <si>
    <t>Off Road Competition, Class ½ 1600, Excelent Torque, Milder Applications w/Dual Carbs, ≤5750rpm, 8½-8¾:1 CR</t>
  </si>
  <si>
    <r>
      <t>Hot Street, Large Motor, 48IDA Carbs, Close Ratios,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</si>
  <si>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Very Popular Drag Race Cam,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</si>
  <si>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Ditto, but for More Radical Heads,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</si>
  <si>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2.2L, Radical Heads,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</si>
  <si>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Even More Duration &amp; Lift,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</si>
  <si>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Even More Lift,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</si>
  <si>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t>1000-5500rpm, 8¼-8¾:1,  1¼ RR</t>
  </si>
  <si>
    <r>
      <t>1000-4000rpm, 7½-8:1,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</si>
  <si>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1500-5500rpm, 8½-9:1,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</si>
  <si>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2500-6000rpm,8¼-8¾:1,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</si>
  <si>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3000-7000rpm, 9-9½:1,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</si>
  <si>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t>Rocker Ratio    1:</t>
  </si>
  <si>
    <t>Turbo Cam, Drag Race Only, Large cc, Low CR, 1.1 or 1¼ RR</t>
  </si>
  <si>
    <t>Turbo Cam, Drag Race Only, Large cc, Low CR, 1¼ RR</t>
  </si>
  <si>
    <t>Turbo Cam, Street &amp; Strip, Good Idle, Low CR, 1¼ RR</t>
  </si>
  <si>
    <t>½ 1600 Off road, Mild Top End</t>
  </si>
  <si>
    <t>Type 4, Good Turbo Cam, ≤5000rpm, 7¾-8:1 CR, 1.3 RR</t>
  </si>
  <si>
    <t>Stock, Hydraulic, Mild Grind, Factory Bus Grind, 1000-4000rpm, 7½-8:1 CR, EFI Ready</t>
  </si>
  <si>
    <r>
      <t>Drag Race Only,1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</si>
  <si>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Street, Mild Cam, Good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</si>
  <si>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5500-5800rpm Competition Only, Drag Race Only,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</si>
  <si>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Type 4 Cam, 1000-4500rpm, 7</t>
    </r>
    <r>
      <rPr>
        <sz val="14"/>
        <color indexed="8"/>
        <rFont val="Palatino Linotype"/>
      </rPr>
      <t>⅘</t>
    </r>
    <r>
      <rPr>
        <sz val="14"/>
        <color indexed="8"/>
        <rFont val="Arial"/>
      </rPr>
      <t>-8:1 CR, Head Work &amp; Better Carburation Improves Top End</t>
    </r>
  </si>
  <si>
    <t xml:space="preserve">          At .050"</t>
  </si>
  <si>
    <t>Street &amp; Off Road, Good Power Spread, to 6000rpm</t>
  </si>
  <si>
    <t>Inc.</t>
  </si>
  <si>
    <t>CFM</t>
  </si>
  <si>
    <t xml:space="preserve">       Advertised</t>
  </si>
  <si>
    <t>Separation</t>
  </si>
  <si>
    <t>Turbo</t>
  </si>
  <si>
    <t>Same BDC timings different TDC overlap timings.</t>
  </si>
  <si>
    <t>N/A</t>
  </si>
  <si>
    <t>Crown to Wall Vol.</t>
  </si>
  <si>
    <t>1500-5800rpm, 8¼-8¾:1, 1.1 RR,  ~6000rpm w/1¼ RR</t>
  </si>
  <si>
    <t>%</t>
  </si>
  <si>
    <t>RPM CFM Horsepower</t>
  </si>
  <si>
    <t>cm</t>
  </si>
  <si>
    <t xml:space="preserve">          Length</t>
  </si>
  <si>
    <t>Carb</t>
  </si>
  <si>
    <t>Disp.</t>
  </si>
  <si>
    <t>in.</t>
  </si>
  <si>
    <t>Total</t>
  </si>
  <si>
    <t>Ttl Port Vol.</t>
  </si>
  <si>
    <t>Blower</t>
  </si>
  <si>
    <t>116°</t>
  </si>
  <si>
    <t xml:space="preserve">         Runner</t>
  </si>
  <si>
    <t>Diff</t>
  </si>
  <si>
    <t>Bain Racing</t>
  </si>
  <si>
    <t>YouTube</t>
  </si>
  <si>
    <t>David Vizard</t>
  </si>
  <si>
    <t>Turbo power without Turbo through resonance.</t>
  </si>
  <si>
    <t>A</t>
  </si>
  <si>
    <t>©2025 - J.S. Gilstrap - All Rights Reserved.</t>
  </si>
  <si>
    <t>Creative Commons</t>
  </si>
  <si>
    <t>(CC BY-SA 4.0)</t>
  </si>
  <si>
    <t>CERN-OHL-S</t>
  </si>
  <si>
    <t>Hardware Licenses:</t>
  </si>
  <si>
    <t xml:space="preserve"> TAPR-OHL</t>
  </si>
  <si>
    <t>Band Master™</t>
  </si>
  <si>
    <t>228°</t>
  </si>
  <si>
    <t>241°</t>
  </si>
  <si>
    <t>Volume</t>
  </si>
  <si>
    <t>Runner Length</t>
  </si>
  <si>
    <t>X</t>
  </si>
  <si>
    <t>Runner</t>
  </si>
  <si>
    <t>Horn Length</t>
  </si>
  <si>
    <t>Horn</t>
  </si>
  <si>
    <t>Port Speed</t>
  </si>
  <si>
    <t>fps</t>
  </si>
  <si>
    <t>Deg.</t>
  </si>
  <si>
    <t>Horn Speed</t>
  </si>
  <si>
    <t>( ≤2° )</t>
  </si>
  <si>
    <t>Scaling</t>
  </si>
  <si>
    <t>+in.</t>
  </si>
  <si>
    <t>-in.</t>
  </si>
  <si>
    <t>Cyl. Vol.</t>
  </si>
  <si>
    <t>Intake Throat Dia.</t>
  </si>
  <si>
    <t>Exhaust Throat Dia.</t>
  </si>
  <si>
    <t>Flat Tappet</t>
  </si>
  <si>
    <t>Pro-Stock</t>
  </si>
  <si>
    <t>Race Roller</t>
  </si>
  <si>
    <t>Taper</t>
  </si>
  <si>
    <t>Step</t>
  </si>
  <si>
    <t>Throat Dia.</t>
  </si>
  <si>
    <t xml:space="preserve">Advance: -1½° (0° @ .050"), Asymmetrical Lobes, Valves I:≥43mm E:≥35mm, </t>
  </si>
  <si>
    <t>Via</t>
  </si>
  <si>
    <t>Brian Salter</t>
  </si>
  <si>
    <t>Salter Racing Engines</t>
  </si>
  <si>
    <t>MCA Factor</t>
  </si>
  <si>
    <t>MCA Factors</t>
  </si>
  <si>
    <t xml:space="preserve"> </t>
  </si>
  <si>
    <t>Volumetric Effeciency @ Peak</t>
  </si>
  <si>
    <t>PSI Boost above 100% V.E.</t>
  </si>
  <si>
    <r>
      <t>Allocate CFM</t>
    </r>
    <r>
      <rPr>
        <b/>
        <sz val="12"/>
        <color indexed="8"/>
        <rFont val="Arial"/>
      </rPr>
      <t xml:space="preserve"> </t>
    </r>
    <r>
      <rPr>
        <sz val="12"/>
        <color indexed="8"/>
        <rFont val="Arial"/>
      </rPr>
      <t>(Within Carburetor Limits)</t>
    </r>
  </si>
  <si>
    <t>Avg. ↑ ↓</t>
  </si>
  <si>
    <t>Wet Flow Compensation</t>
  </si>
  <si>
    <t>Peak BHP</t>
  </si>
  <si>
    <t>CFM / BHP</t>
  </si>
  <si>
    <r>
      <t xml:space="preserve">14.696 PSI </t>
    </r>
    <r>
      <rPr>
        <b/>
        <sz val="12"/>
        <color indexed="8"/>
        <rFont val="Arial"/>
      </rPr>
      <t>A</t>
    </r>
    <r>
      <rPr>
        <sz val="12"/>
        <color indexed="8"/>
        <rFont val="Arial"/>
      </rPr>
      <t xml:space="preserve">t </t>
    </r>
    <r>
      <rPr>
        <b/>
        <sz val="12"/>
        <color indexed="8"/>
        <rFont val="Arial"/>
      </rPr>
      <t>S</t>
    </r>
    <r>
      <rPr>
        <sz val="12"/>
        <color indexed="8"/>
        <rFont val="Arial"/>
      </rPr>
      <t xml:space="preserve">ea </t>
    </r>
    <r>
      <rPr>
        <b/>
        <sz val="12"/>
        <color indexed="8"/>
        <rFont val="Arial"/>
      </rPr>
      <t>L</t>
    </r>
    <r>
      <rPr>
        <sz val="12"/>
        <color indexed="8"/>
        <rFont val="Arial"/>
      </rPr>
      <t>evel</t>
    </r>
  </si>
  <si>
    <t>Alemeda Racing</t>
  </si>
  <si>
    <t>Ben Almeda</t>
  </si>
  <si>
    <t>Allocated CFM Usage</t>
  </si>
  <si>
    <t>Atmospheric Pressure @ Altitude</t>
  </si>
  <si>
    <t>All Around Hot Street &amp; Off Road, Broad Band 2750-6750rpm, Ample Torque, ~2.0L,</t>
  </si>
  <si>
    <t>in/H₂O</t>
  </si>
  <si>
    <t>in/hg</t>
  </si>
  <si>
    <t>psi</t>
  </si>
  <si>
    <t>Air Pressure (PSI)</t>
  </si>
  <si>
    <r>
      <t>@ 10 in/H</t>
    </r>
    <r>
      <rPr>
        <b/>
        <sz val="12"/>
        <color indexed="8"/>
        <rFont val="Papyrus Condensed"/>
      </rPr>
      <t>₂</t>
    </r>
    <r>
      <rPr>
        <b/>
        <sz val="12"/>
        <color indexed="8"/>
        <rFont val="Arial"/>
      </rPr>
      <t>O</t>
    </r>
  </si>
  <si>
    <t>Mod F-Vee Type, Big Vent, No Choke, Blended Top</t>
  </si>
  <si>
    <t>Stock 22.5 Vent</t>
  </si>
  <si>
    <t>Stock 21.5 Vent.</t>
  </si>
  <si>
    <t>Stock 24 Vent</t>
  </si>
  <si>
    <t>32 PDSIT - 2</t>
  </si>
  <si>
    <t>28 PIC 36hp</t>
  </si>
  <si>
    <t>28 PIC F-Vee</t>
  </si>
  <si>
    <t>28 PIC 40hp</t>
  </si>
  <si>
    <t>30 PICT, 1 or 2</t>
  </si>
  <si>
    <t>Stock 21.5 Vent, Choke</t>
  </si>
  <si>
    <t>Mod 24.5 Vent, Smooth Shaft, Choke Out</t>
  </si>
  <si>
    <t>34 PICT - 3</t>
  </si>
  <si>
    <t>Stock 27 Vent</t>
  </si>
  <si>
    <t>32 PBIC Okrasa</t>
  </si>
  <si>
    <t>Mod 26 Vent, Smooth Shaft</t>
  </si>
  <si>
    <t>34 ICT Weber</t>
  </si>
  <si>
    <t>Stock 29 Vent</t>
  </si>
  <si>
    <t>32 NDIX Zenith</t>
  </si>
  <si>
    <t>Stock 24 Vent, 1600N or VW Single</t>
  </si>
  <si>
    <t>Stock 28 Vent, 1600S Porsche</t>
  </si>
  <si>
    <t>Mod 31 Vent, Top Crossbar, Out &amp; Blended</t>
  </si>
  <si>
    <t>40 Solex/Kadron EIS</t>
  </si>
  <si>
    <t>Stock 28 Vent, Crosssbar, Top Style</t>
  </si>
  <si>
    <t>Holley/Weber R6503</t>
  </si>
  <si>
    <t>Mod 26/27 Vent, Choke Out, Mod Inlet &amp; Progressive</t>
  </si>
  <si>
    <t>Stock 26/27 Vent, Progressive</t>
  </si>
  <si>
    <t>Weber DGEV 32/36</t>
  </si>
  <si>
    <t>Weber 40 DCNF</t>
  </si>
  <si>
    <t>Stock 32 Vent</t>
  </si>
  <si>
    <t>Solex 40 P114</t>
  </si>
  <si>
    <t>Mod 37.5 Vent, Pro Super Vee</t>
  </si>
  <si>
    <t>Weber 40 IDF</t>
  </si>
  <si>
    <t>Stock 28 Vent, w/ Air Horn</t>
  </si>
  <si>
    <t>Weber 40 IDF (39)</t>
  </si>
  <si>
    <t>Stock 32 Vent, Tall Sec. Vent &amp; Air Horn</t>
  </si>
  <si>
    <t>Mod 34 Vent, Tall Sec. Vent &amp; Air Horn</t>
  </si>
  <si>
    <t>Mod 36 Vent, Tall Sec. Vent &amp; Air Horn</t>
  </si>
  <si>
    <t>Weber 48 DCO 1/SP</t>
  </si>
  <si>
    <t>Stock 42 Vent, w/ Air Horn</t>
  </si>
  <si>
    <t>Airflow Comparisons of</t>
  </si>
  <si>
    <t>Frequently Used VW Carburetors</t>
  </si>
  <si>
    <t>One Venturi per Cylinder Setup</t>
  </si>
  <si>
    <t>Weber 48 IDA</t>
  </si>
  <si>
    <t>Stock 37 Vent, Tall Sec. Vent &amp; Air Horn</t>
  </si>
  <si>
    <t>Diameter</t>
  </si>
  <si>
    <t>Port MCA</t>
  </si>
  <si>
    <t>Rochester VaraLet 2SE</t>
  </si>
  <si>
    <t>2.5L L4 Iron Duke, 2.8L 60° V6</t>
  </si>
  <si>
    <t>@ 1.5 in/hg</t>
  </si>
  <si>
    <t>|</t>
  </si>
  <si>
    <t xml:space="preserve">&lt;─┐     </t>
  </si>
  <si>
    <t xml:space="preserve">&lt;─┘     </t>
  </si>
  <si>
    <t>Production</t>
  </si>
  <si>
    <t>Intake Valve Dia.</t>
  </si>
  <si>
    <t>Competition</t>
  </si>
  <si>
    <t>Exhaust Valve Dia.</t>
  </si>
  <si>
    <t xml:space="preserve">  Suggested Valve Specifications</t>
  </si>
  <si>
    <t>1¼ RR, 9⅜-9¾:1 CR, Carb/FI CFM: NA325/Turbo500, Long Headers, ≥125HP.</t>
  </si>
  <si>
    <t>205/65R15, 25.5x8.1 (15x6" Rims)</t>
  </si>
  <si>
    <r>
      <rPr>
        <b/>
        <sz val="12"/>
        <color indexed="8"/>
        <rFont val="Arial"/>
      </rPr>
      <t>M</t>
    </r>
    <r>
      <rPr>
        <sz val="12"/>
        <color indexed="8"/>
        <rFont val="Arial"/>
      </rPr>
      <t xml:space="preserve">inimal </t>
    </r>
    <r>
      <rPr>
        <b/>
        <sz val="12"/>
        <color indexed="8"/>
        <rFont val="Arial"/>
      </rPr>
      <t>C</t>
    </r>
    <r>
      <rPr>
        <sz val="12"/>
        <color indexed="8"/>
        <rFont val="Arial"/>
      </rPr>
      <t xml:space="preserve">rossectional </t>
    </r>
    <r>
      <rPr>
        <b/>
        <sz val="12"/>
        <color indexed="8"/>
        <rFont val="Arial"/>
      </rPr>
      <t>A</t>
    </r>
    <r>
      <rPr>
        <sz val="12"/>
        <color indexed="8"/>
        <rFont val="Arial"/>
      </rPr>
      <t>rea</t>
    </r>
  </si>
  <si>
    <t>in/hg   Carb. Calibration Value</t>
  </si>
  <si>
    <t>in/hg   Maximum Carb. Pressure Drop</t>
  </si>
  <si>
    <r>
      <t xml:space="preserve">Effective Available CFM </t>
    </r>
    <r>
      <rPr>
        <sz val="12"/>
        <color indexed="8"/>
        <rFont val="Arial"/>
      </rPr>
      <t>(Drop/Cal., Wet Flow &amp; Altitude Adj.)</t>
    </r>
  </si>
  <si>
    <t xml:space="preserve">Lobes:  Separation ∠ </t>
  </si>
  <si>
    <t>Final Lobe Separation ∠</t>
  </si>
  <si>
    <t>Linear Accelerated Horn</t>
  </si>
  <si>
    <t>Length "</t>
  </si>
  <si>
    <t>In / Ex</t>
  </si>
  <si>
    <t>Deck Ht Vol.</t>
  </si>
  <si>
    <t>HP/Cyl.</t>
  </si>
  <si>
    <t>Dia. "</t>
  </si>
  <si>
    <t>↑ ↑ ↑</t>
  </si>
  <si>
    <t>@ Peak RPM</t>
  </si>
  <si>
    <t>Port Dia.mm</t>
  </si>
  <si>
    <t xml:space="preserve"> Calculated Valve Diameter</t>
  </si>
  <si>
    <t>Valve Overlap</t>
  </si>
  <si>
    <t>~ Eff. Lngth</t>
  </si>
  <si>
    <t>mm Horn Dia.</t>
  </si>
  <si>
    <t>Rings</t>
  </si>
  <si>
    <t>Valves</t>
  </si>
  <si>
    <t>Adjusted Throat Dia.</t>
  </si>
  <si>
    <t>Bore Space</t>
  </si>
  <si>
    <t>Manual Input</t>
  </si>
  <si>
    <t>Experiment with Different Values</t>
  </si>
  <si>
    <t>Dia.</t>
  </si>
  <si>
    <t>Valve Spec.</t>
  </si>
  <si>
    <t>From</t>
  </si>
  <si>
    <t>Suggested</t>
  </si>
  <si>
    <t>~</t>
  </si>
  <si>
    <t>Airflow &amp; Carburation</t>
  </si>
  <si>
    <t>Throat/Port Dia.</t>
  </si>
  <si>
    <t>Valve Stem Dia.</t>
  </si>
  <si>
    <t>Exhaust ÷ Intake Throat Area</t>
  </si>
  <si>
    <t>Max</t>
  </si>
  <si>
    <t>Mean</t>
  </si>
  <si>
    <t>Piston Speed in FPM</t>
  </si>
  <si>
    <t>Calculated</t>
  </si>
  <si>
    <t>Defined</t>
  </si>
  <si>
    <t xml:space="preserve">  ?  VW Air Cooled</t>
  </si>
  <si>
    <t>Chamber Vol.</t>
  </si>
  <si>
    <t xml:space="preserve"> Modified Equation &amp; Konstants</t>
  </si>
  <si>
    <t xml:space="preserve">Vizard's Original Equation &amp; Konstants </t>
  </si>
  <si>
    <t>DCR Angle</t>
  </si>
  <si>
    <t>Radians</t>
  </si>
  <si>
    <t>Dynamic Compression</t>
  </si>
  <si>
    <t>Dynamic Stroke</t>
  </si>
  <si>
    <t>Valve Events</t>
  </si>
  <si>
    <t>Dynamic Calculations</t>
  </si>
  <si>
    <t>Cranking Pressure</t>
  </si>
  <si>
    <t>PSI</t>
  </si>
  <si>
    <t xml:space="preserve">(Intake Valve Close @ ~.020")  </t>
  </si>
  <si>
    <t>LSA/LCA</t>
  </si>
  <si>
    <t>&amp; Cam LSA/LCA</t>
  </si>
  <si>
    <t>For Dynamic Stroke &amp; Compression enter camshaft timing data, B39 to B42, and update valve events in camshaft protractor, C46 to C55.</t>
  </si>
  <si>
    <r>
      <t xml:space="preserve">The </t>
    </r>
    <r>
      <rPr>
        <b/>
        <sz val="14"/>
        <color indexed="8"/>
        <rFont val="Arial"/>
      </rPr>
      <t>K</t>
    </r>
    <r>
      <rPr>
        <sz val="14"/>
        <color indexed="8"/>
        <rFont val="Arial"/>
      </rPr>
      <t>onstant will vary according chamber shape, valve canting, crossflow ability, valve shrouding &amp; other factors.</t>
    </r>
  </si>
  <si>
    <r>
      <t xml:space="preserve">Modified Equation (Nom.100)   </t>
    </r>
    <r>
      <rPr>
        <b/>
        <sz val="11"/>
        <color indexed="8"/>
        <rFont val="Menlo Bold"/>
      </rPr>
      <t>☟</t>
    </r>
  </si>
  <si>
    <r>
      <t xml:space="preserve">Modified Equation (Nom.100)   </t>
    </r>
    <r>
      <rPr>
        <b/>
        <sz val="11"/>
        <color indexed="8"/>
        <rFont val="MS Reference Sans Serif"/>
      </rPr>
      <t>☞</t>
    </r>
  </si>
  <si>
    <t>VW Boxster</t>
  </si>
  <si>
    <t>How to Build Horsepower</t>
  </si>
  <si>
    <t>How to Port &amp; Flow Cylinder Heads</t>
  </si>
  <si>
    <t>Engine Math</t>
  </si>
  <si>
    <t>IOP Flow program</t>
  </si>
  <si>
    <t>PipeMax</t>
  </si>
  <si>
    <t>Links:</t>
  </si>
  <si>
    <t>MotoIQ</t>
  </si>
  <si>
    <t xml:space="preserve"> Displacement Calculator, Table, Protractor, Valve Timings &amp; Sizing</t>
  </si>
  <si>
    <t>📓</t>
  </si>
  <si>
    <t>K</t>
  </si>
  <si>
    <r>
      <rPr>
        <b/>
        <sz val="14"/>
        <color indexed="8"/>
        <rFont val="Arial"/>
      </rPr>
      <t>L</t>
    </r>
    <r>
      <rPr>
        <sz val="14"/>
        <color indexed="8"/>
        <rFont val="Arial"/>
      </rPr>
      <t xml:space="preserve">obe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 xml:space="preserve">enterline </t>
    </r>
    <r>
      <rPr>
        <b/>
        <sz val="14"/>
        <color indexed="8"/>
        <rFont val="Arial"/>
      </rPr>
      <t>A</t>
    </r>
    <r>
      <rPr>
        <sz val="14"/>
        <color indexed="8"/>
        <rFont val="Arial"/>
      </rPr>
      <t>ngle</t>
    </r>
  </si>
  <si>
    <t>LCA Formula</t>
  </si>
  <si>
    <t>Other</t>
  </si>
  <si>
    <t>Configurations</t>
  </si>
  <si>
    <r>
      <t>(</t>
    </r>
    <r>
      <rPr>
        <b/>
        <sz val="12"/>
        <color indexed="8"/>
        <rFont val="Arial"/>
      </rPr>
      <t>I</t>
    </r>
    <r>
      <rPr>
        <sz val="12"/>
        <color indexed="8"/>
        <rFont val="Arial"/>
      </rPr>
      <t xml:space="preserve">ntake </t>
    </r>
    <r>
      <rPr>
        <b/>
        <sz val="12"/>
        <color indexed="8"/>
        <rFont val="Arial"/>
      </rPr>
      <t>T</t>
    </r>
    <r>
      <rPr>
        <sz val="12"/>
        <color indexed="8"/>
        <rFont val="Arial"/>
      </rPr>
      <t xml:space="preserve">hroat </t>
    </r>
    <r>
      <rPr>
        <b/>
        <sz val="12"/>
        <color indexed="8"/>
        <rFont val="Arial"/>
      </rPr>
      <t>D</t>
    </r>
    <r>
      <rPr>
        <sz val="12"/>
        <color indexed="8"/>
        <rFont val="Arial"/>
      </rPr>
      <t>ia.In)</t>
    </r>
  </si>
  <si>
    <t>88×74</t>
  </si>
  <si>
    <t>88×82</t>
  </si>
  <si>
    <t>92×86</t>
  </si>
  <si>
    <r>
      <rPr>
        <b/>
        <sz val="12"/>
        <color indexed="8"/>
        <rFont val="Arial"/>
      </rPr>
      <t>K</t>
    </r>
    <r>
      <rPr>
        <sz val="12"/>
        <color indexed="8"/>
        <rFont val="Arial"/>
      </rPr>
      <t>onstant</t>
    </r>
  </si>
  <si>
    <t>Cyl. / Valve</t>
  </si>
  <si>
    <t>With higher compression ceramic coated insulated combustion chambers are highly recomended.</t>
  </si>
  <si>
    <t>CR</t>
  </si>
  <si>
    <t>K - (Cyl.CID ÷ ValveDia. × 0.91)</t>
  </si>
  <si>
    <t>Small Block Chevy</t>
  </si>
  <si>
    <t>14 to 10 Compensation</t>
  </si>
  <si>
    <t xml:space="preserve">Graph </t>
  </si>
  <si>
    <t xml:space="preserve"> Test</t>
  </si>
  <si>
    <t>Try Me</t>
  </si>
  <si>
    <t>Custom</t>
  </si>
  <si>
    <t xml:space="preserve">    Finding the right value for the head design is important.</t>
  </si>
  <si>
    <t>20 to 14</t>
  </si>
  <si>
    <t>14 to 10</t>
  </si>
  <si>
    <r>
      <rPr>
        <b/>
        <sz val="11.5"/>
        <color rgb="FFC01330"/>
        <rFont val="Arial"/>
      </rPr>
      <t>Graph curve tweaking parameters. Do NOT change unless necessary.</t>
    </r>
    <r>
      <rPr>
        <b/>
        <sz val="11"/>
        <color rgb="FFC01330"/>
        <rFont val="Arial"/>
      </rPr>
      <t xml:space="preserve"> </t>
    </r>
    <r>
      <rPr>
        <b/>
        <sz val="14"/>
        <color rgb="FFC01330"/>
        <rFont val="MS Reference Sans Serif"/>
      </rPr>
      <t xml:space="preserve">☞   </t>
    </r>
  </si>
  <si>
    <r>
      <t xml:space="preserve">  </t>
    </r>
    <r>
      <rPr>
        <b/>
        <sz val="14"/>
        <color indexed="8"/>
        <rFont val="Arial"/>
      </rPr>
      <t>S</t>
    </r>
    <r>
      <rPr>
        <sz val="14"/>
        <color indexed="8"/>
        <rFont val="Arial"/>
      </rPr>
      <t xml:space="preserve">mall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F</t>
    </r>
    <r>
      <rPr>
        <sz val="14"/>
        <color indexed="8"/>
        <rFont val="Arial"/>
      </rPr>
      <t>ord</t>
    </r>
  </si>
  <si>
    <r>
      <t xml:space="preserve">  </t>
    </r>
    <r>
      <rPr>
        <b/>
        <sz val="14"/>
        <color indexed="8"/>
        <rFont val="Arial"/>
      </rPr>
      <t>S</t>
    </r>
    <r>
      <rPr>
        <sz val="14"/>
        <color indexed="8"/>
        <rFont val="Arial"/>
      </rPr>
      <t xml:space="preserve">mall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>hevy</t>
    </r>
  </si>
  <si>
    <r>
      <t xml:space="preserve"> 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ig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>hevy</t>
    </r>
  </si>
  <si>
    <r>
      <t xml:space="preserve"> 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ig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F</t>
    </r>
    <r>
      <rPr>
        <sz val="14"/>
        <color indexed="8"/>
        <rFont val="Arial"/>
      </rPr>
      <t>ord</t>
    </r>
  </si>
  <si>
    <t>Chamber cc ÷ Intake Throat Dia."</t>
  </si>
  <si>
    <t>Let CDTD = Chamber cc ÷ Intake Throat Dia.</t>
  </si>
  <si>
    <t xml:space="preserve">       20 to 14 Compensation</t>
  </si>
  <si>
    <t xml:space="preserve"> LSA=LCA when the cam is timed straight up, no advance/retard.</t>
  </si>
  <si>
    <t>86×86</t>
  </si>
  <si>
    <t>This equation has been tuned to follow the graph exactly within ±⅛° (above right).</t>
  </si>
  <si>
    <t>How to Build Horespower</t>
  </si>
  <si>
    <t>Graph Data From:</t>
  </si>
  <si>
    <t>CR Comp</t>
  </si>
  <si>
    <t>× VE Factor (Max)</t>
  </si>
  <si>
    <t>Head Vol.</t>
  </si>
  <si>
    <t>ft/lbs  Max.Torque</t>
  </si>
  <si>
    <t>CR (8-18) vs. Tq/Cube (Max)</t>
  </si>
  <si>
    <t>MCA Redux</t>
  </si>
  <si>
    <t>Stock 30 Vent, BMW 2002, Choke Out</t>
  </si>
  <si>
    <t>Solex 36/40 PDSI</t>
  </si>
  <si>
    <t>EngineRPM</t>
  </si>
  <si>
    <t>MPH</t>
  </si>
  <si>
    <t>WheelRPM</t>
  </si>
  <si>
    <t xml:space="preserve"> 17x6.5 Rims</t>
  </si>
  <si>
    <t>Aisin 21100-35463  32/40</t>
  </si>
  <si>
    <t>26/40 Vent, 1985+ 22R (Toyota Hilux/Truck)</t>
  </si>
  <si>
    <t>Cyl.Vol.</t>
  </si>
  <si>
    <t>Total Port Vol. / Cyl.Vol. = 92% to 95%</t>
  </si>
  <si>
    <t>Correct Horn Volume Requires the Proper Summation Range be Set, Located @ Cells i71 &amp; i72.</t>
  </si>
  <si>
    <t>InLine 5 Cylinder</t>
  </si>
  <si>
    <t>( ⅚2JZ, ⁵/₄[1RZ,3S,3Y,1TR,K20,SR20,FA20,FE,4B11] )</t>
  </si>
  <si>
    <t>Throat ÷ Valve  Dia.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</si>
</sst>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"/>
    <numFmt numFmtId="166" formatCode="0.0000"/>
    <numFmt numFmtId="167" formatCode="#,##0.0"/>
    <numFmt numFmtId="168" formatCode="0.0%"/>
    <numFmt numFmtId="169" formatCode="#\ ?/9"/>
  </numFmts>
  <fonts count="86" x14ac:knownFonts="1">
    <font>
      <sz val="10"/>
      <color indexed="8"/>
      <name val="Sans"/>
    </font>
    <font>
      <sz val="10"/>
      <color indexed="8"/>
      <name val="Arial"/>
    </font>
    <font>
      <b/>
      <sz val="16"/>
      <color indexed="8"/>
      <name val="Arial"/>
    </font>
    <font>
      <sz val="14"/>
      <color indexed="8"/>
      <name val="Arial"/>
    </font>
    <font>
      <b/>
      <sz val="12"/>
      <color indexed="8"/>
      <name val="Arial"/>
    </font>
    <font>
      <b/>
      <sz val="14"/>
      <color indexed="8"/>
      <name val="Arial"/>
    </font>
    <font>
      <b/>
      <sz val="14"/>
      <color indexed="48"/>
      <name val="Arial"/>
    </font>
    <font>
      <sz val="12"/>
      <color indexed="8"/>
      <name val="Arial"/>
    </font>
    <font>
      <sz val="14"/>
      <name val="Arial"/>
    </font>
    <font>
      <u/>
      <sz val="10"/>
      <color theme="10"/>
      <name val="Sans"/>
    </font>
    <font>
      <u/>
      <sz val="10"/>
      <color theme="11"/>
      <name val="Sans"/>
    </font>
    <font>
      <b/>
      <sz val="14"/>
      <name val="Arial"/>
    </font>
    <font>
      <b/>
      <sz val="16"/>
      <color theme="10"/>
      <name val="Arial"/>
    </font>
    <font>
      <sz val="14"/>
      <color rgb="FFC01330"/>
      <name val="Arial"/>
    </font>
    <font>
      <sz val="14"/>
      <color rgb="FF00C000"/>
      <name val="Arial"/>
    </font>
    <font>
      <b/>
      <sz val="14"/>
      <color rgb="FF808080"/>
      <name val="Arial"/>
    </font>
    <font>
      <sz val="12"/>
      <color theme="0" tint="-0.499984740745262"/>
      <name val="Arial"/>
    </font>
    <font>
      <b/>
      <sz val="14"/>
      <color rgb="FF804000"/>
      <name val="Arial"/>
    </font>
    <font>
      <b/>
      <sz val="14"/>
      <color rgb="FF00C000"/>
      <name val="Arial"/>
    </font>
    <font>
      <b/>
      <sz val="14"/>
      <color rgb="FFC0C000"/>
      <name val="Arial"/>
    </font>
    <font>
      <b/>
      <sz val="12"/>
      <color rgb="FF800000"/>
      <name val="Arial"/>
    </font>
    <font>
      <b/>
      <sz val="12"/>
      <color rgb="FF00C000"/>
      <name val="Arial"/>
    </font>
    <font>
      <sz val="14"/>
      <color theme="0" tint="-0.499984740745262"/>
      <name val="Arial"/>
    </font>
    <font>
      <b/>
      <sz val="14"/>
      <color theme="1" tint="0.499984740745262"/>
      <name val="Arial"/>
    </font>
    <font>
      <sz val="14"/>
      <color indexed="8"/>
      <name val="Sans"/>
    </font>
    <font>
      <sz val="12"/>
      <color theme="1" tint="0.499984740745262"/>
      <name val="Arial"/>
    </font>
    <font>
      <b/>
      <sz val="14"/>
      <color theme="0" tint="-0.499984740745262"/>
      <name val="Arial"/>
    </font>
    <font>
      <b/>
      <sz val="14"/>
      <color theme="0" tint="-0.249977111117893"/>
      <name val="Arial"/>
    </font>
    <font>
      <b/>
      <sz val="14"/>
      <color rgb="FFB6D9FF"/>
      <name val="Arial"/>
    </font>
    <font>
      <b/>
      <sz val="13"/>
      <color indexed="8"/>
      <name val="Arial"/>
    </font>
    <font>
      <b/>
      <sz val="18"/>
      <color indexed="8"/>
      <name val="Arial"/>
    </font>
    <font>
      <sz val="14"/>
      <color indexed="23"/>
      <name val="Arial"/>
    </font>
    <font>
      <b/>
      <sz val="14"/>
      <color indexed="23"/>
      <name val="Arial"/>
    </font>
    <font>
      <sz val="14"/>
      <color indexed="8"/>
      <name val="Palatino Linotype"/>
    </font>
    <font>
      <sz val="14"/>
      <color rgb="FF808080"/>
      <name val="Arial"/>
    </font>
    <font>
      <sz val="14"/>
      <color rgb="FF001CFF"/>
      <name val="Arial"/>
    </font>
    <font>
      <sz val="8"/>
      <name val="Sans"/>
    </font>
    <font>
      <sz val="16"/>
      <color indexed="8"/>
      <name val="Arial"/>
    </font>
    <font>
      <i/>
      <sz val="12"/>
      <color indexed="8"/>
      <name val="Arial"/>
    </font>
    <font>
      <sz val="14"/>
      <color theme="10"/>
      <name val="Sans"/>
    </font>
    <font>
      <b/>
      <sz val="14"/>
      <color rgb="FF001CFF"/>
      <name val="Arial"/>
    </font>
    <font>
      <b/>
      <sz val="14"/>
      <color theme="10"/>
      <name val="Arial"/>
    </font>
    <font>
      <b/>
      <sz val="11"/>
      <color indexed="8"/>
      <name val="Arial"/>
    </font>
    <font>
      <b/>
      <sz val="12"/>
      <color indexed="8"/>
      <name val="Papyrus Condensed"/>
    </font>
    <font>
      <sz val="8"/>
      <color indexed="8"/>
      <name val="Arial"/>
    </font>
    <font>
      <sz val="14"/>
      <color theme="1" tint="0.499984740745262"/>
      <name val="Arial"/>
    </font>
    <font>
      <sz val="13"/>
      <color indexed="8"/>
      <name val="Arial"/>
    </font>
    <font>
      <sz val="12"/>
      <color rgb="FF000000"/>
      <name val="Sans"/>
    </font>
    <font>
      <b/>
      <sz val="12"/>
      <color theme="0" tint="-0.499984740745262"/>
      <name val="Arial"/>
    </font>
    <font>
      <b/>
      <sz val="14"/>
      <color rgb="FFFA520C"/>
      <name val="Arial"/>
    </font>
    <font>
      <sz val="14"/>
      <color rgb="FFFA520C"/>
      <name val="Arial"/>
    </font>
    <font>
      <b/>
      <sz val="12"/>
      <color rgb="FFFA520C"/>
      <name val="Arial"/>
    </font>
    <font>
      <b/>
      <sz val="16"/>
      <color rgb="FFFA520C"/>
      <name val="Arial"/>
    </font>
    <font>
      <b/>
      <sz val="14"/>
      <color rgb="FF17B4B2"/>
      <name val="Arial"/>
    </font>
    <font>
      <sz val="14"/>
      <color rgb="FF17B4B2"/>
      <name val="Arial"/>
    </font>
    <font>
      <b/>
      <sz val="16"/>
      <color rgb="FF17B4B2"/>
      <name val="Arial"/>
    </font>
    <font>
      <b/>
      <sz val="12"/>
      <color rgb="FF17B4B2"/>
      <name val="Arial"/>
    </font>
    <font>
      <b/>
      <sz val="12"/>
      <color indexed="48"/>
      <name val="Arial"/>
    </font>
    <font>
      <sz val="14"/>
      <color rgb="FFFF6600"/>
      <name val="Arial"/>
    </font>
    <font>
      <sz val="11"/>
      <name val="Arial"/>
    </font>
    <font>
      <b/>
      <sz val="12"/>
      <color rgb="FF000000"/>
      <name val="Arial"/>
    </font>
    <font>
      <b/>
      <sz val="11"/>
      <color indexed="8"/>
      <name val="MS Reference Sans Serif"/>
    </font>
    <font>
      <b/>
      <sz val="11"/>
      <color indexed="8"/>
      <name val="Menlo Bold"/>
    </font>
    <font>
      <b/>
      <sz val="14"/>
      <color rgb="FF5500FF"/>
      <name val="Arial"/>
    </font>
    <font>
      <b/>
      <sz val="11"/>
      <color theme="0" tint="-0.499984740745262"/>
      <name val="Arial"/>
    </font>
    <font>
      <b/>
      <i/>
      <sz val="14"/>
      <color rgb="FFFF0000"/>
      <name val="Bookman Old Style"/>
    </font>
    <font>
      <sz val="14"/>
      <color rgb="FF0000FF"/>
      <name val="Sans"/>
    </font>
    <font>
      <b/>
      <sz val="14"/>
      <color rgb="FF0000FF"/>
      <name val="Arial"/>
    </font>
    <font>
      <b/>
      <sz val="20"/>
      <color rgb="FFCD001C"/>
      <name val="Arial"/>
    </font>
    <font>
      <sz val="18"/>
      <color theme="10"/>
      <name val="Sans"/>
    </font>
    <font>
      <sz val="10"/>
      <color rgb="FF0000FF"/>
      <name val="Arial"/>
    </font>
    <font>
      <b/>
      <sz val="16"/>
      <color rgb="FF0000FF"/>
      <name val="Arial"/>
    </font>
    <font>
      <b/>
      <i/>
      <sz val="11"/>
      <color rgb="FFFF0000"/>
      <name val="Bookman Old Style"/>
    </font>
    <font>
      <b/>
      <sz val="12"/>
      <color rgb="FFC01330"/>
      <name val="Arial"/>
    </font>
    <font>
      <b/>
      <sz val="14"/>
      <color rgb="FF3366FF"/>
      <name val="Arial"/>
    </font>
    <font>
      <b/>
      <sz val="14"/>
      <color rgb="FFC01330"/>
      <name val="Arial"/>
    </font>
    <font>
      <b/>
      <sz val="11"/>
      <color rgb="FFC01330"/>
      <name val="Arial"/>
    </font>
    <font>
      <b/>
      <sz val="11.5"/>
      <color rgb="FFC01330"/>
      <name val="Arial"/>
    </font>
    <font>
      <b/>
      <sz val="14"/>
      <color rgb="FFC01330"/>
      <name val="MS Reference Sans Serif"/>
    </font>
    <font>
      <b/>
      <sz val="14"/>
      <color rgb="FF000000"/>
      <name val="Arial"/>
    </font>
    <font>
      <b/>
      <sz val="10"/>
      <color indexed="8"/>
      <name val="Arial"/>
    </font>
    <font>
      <sz val="12"/>
      <color rgb="FF808080"/>
      <name val="Arial"/>
    </font>
    <font>
      <b/>
      <sz val="14"/>
      <color rgb="FF800000"/>
      <name val="DejaVu Sans Condensed"/>
    </font>
    <font>
      <sz val="14"/>
      <color rgb="FF000000"/>
      <name val="Arial"/>
    </font>
    <font>
      <b/>
      <sz val="12"/>
      <color theme="5" tint="-0.499984740745262"/>
      <name val="Arial"/>
    </font>
    <font>
      <b/>
      <sz val="12"/>
      <color theme="5" tint="-0.249977111117893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EBFCB"/>
        <bgColor indexed="64"/>
      </patternFill>
    </fill>
    <fill>
      <patternFill patternType="solid">
        <fgColor rgb="FFFFE9ED"/>
        <bgColor indexed="64"/>
      </patternFill>
    </fill>
    <fill>
      <patternFill patternType="solid">
        <fgColor rgb="FFFFEFF2"/>
        <bgColor indexed="64"/>
      </patternFill>
    </fill>
    <fill>
      <patternFill patternType="solid">
        <fgColor rgb="FFFFE9ED"/>
        <bgColor rgb="FF000000"/>
      </patternFill>
    </fill>
  </fills>
  <borders count="7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Dashed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rgb="FF3366FF"/>
      </left>
      <right style="medium">
        <color rgb="FF3366FF"/>
      </right>
      <top style="medium">
        <color rgb="FF3366FF"/>
      </top>
      <bottom style="medium">
        <color rgb="FF3366FF"/>
      </bottom>
      <diagonal/>
    </border>
    <border>
      <left style="medium">
        <color rgb="FF3366FF"/>
      </left>
      <right style="medium">
        <color rgb="FF3366FF"/>
      </right>
      <top style="medium">
        <color rgb="FF3366FF"/>
      </top>
      <bottom/>
      <diagonal/>
    </border>
    <border>
      <left style="medium">
        <color rgb="FF3366FF"/>
      </left>
      <right style="medium">
        <color rgb="FF3366FF"/>
      </right>
      <top/>
      <bottom style="medium">
        <color rgb="FF3366FF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Dashed">
        <color theme="0" tint="-0.34998626667073579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Dashed">
        <color theme="0" tint="-0.34998626667073579"/>
      </top>
      <bottom style="medium">
        <color indexed="8"/>
      </bottom>
      <diagonal/>
    </border>
    <border>
      <left/>
      <right/>
      <top style="mediumDashed">
        <color theme="0" tint="-0.34998626667073579"/>
      </top>
      <bottom style="medium">
        <color indexed="8"/>
      </bottom>
      <diagonal/>
    </border>
    <border>
      <left/>
      <right style="medium">
        <color indexed="8"/>
      </right>
      <top style="mediumDashed">
        <color theme="0" tint="-0.34998626667073579"/>
      </top>
      <bottom style="medium">
        <color indexed="8"/>
      </bottom>
      <diagonal/>
    </border>
    <border>
      <left/>
      <right style="mediumDashed">
        <color theme="0" tint="-0.34998626667073579"/>
      </right>
      <top/>
      <bottom/>
      <diagonal/>
    </border>
    <border>
      <left/>
      <right style="mediumDashed">
        <color theme="0" tint="-0.34998626667073579"/>
      </right>
      <top/>
      <bottom style="medium">
        <color indexed="8"/>
      </bottom>
      <diagonal/>
    </border>
    <border>
      <left style="medium">
        <color rgb="FF3366FF"/>
      </left>
      <right/>
      <top style="medium">
        <color rgb="FF3366FF"/>
      </top>
      <bottom style="medium">
        <color rgb="FF3366FF"/>
      </bottom>
      <diagonal/>
    </border>
    <border>
      <left/>
      <right/>
      <top style="medium">
        <color rgb="FF3366FF"/>
      </top>
      <bottom style="medium">
        <color rgb="FF3366FF"/>
      </bottom>
      <diagonal/>
    </border>
    <border>
      <left/>
      <right style="medium">
        <color rgb="FF3366FF"/>
      </right>
      <top style="medium">
        <color rgb="FF3366FF"/>
      </top>
      <bottom style="medium">
        <color rgb="FF3366FF"/>
      </bottom>
      <diagonal/>
    </border>
    <border>
      <left style="medium">
        <color rgb="FF000000"/>
      </left>
      <right/>
      <top style="medium">
        <color rgb="FF000000"/>
      </top>
      <bottom style="mediumDashed">
        <color rgb="FFA6A6A6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Dashed">
        <color theme="0" tint="-0.34998626667073579"/>
      </top>
      <bottom style="mediumDashed">
        <color theme="0" tint="-0.34998626667073579"/>
      </bottom>
      <diagonal/>
    </border>
    <border>
      <left/>
      <right style="medium">
        <color indexed="8"/>
      </right>
      <top style="medium">
        <color auto="1"/>
      </top>
      <bottom style="mediumDashed">
        <color theme="0" tint="-0.499984740745262"/>
      </bottom>
      <diagonal/>
    </border>
    <border>
      <left/>
      <right style="mediumDashed">
        <color indexed="8"/>
      </right>
      <top style="medium">
        <color indexed="8"/>
      </top>
      <bottom/>
      <diagonal/>
    </border>
    <border>
      <left/>
      <right style="mediumDashed">
        <color indexed="8"/>
      </right>
      <top/>
      <bottom/>
      <diagonal/>
    </border>
    <border>
      <left/>
      <right style="mediumDashed">
        <color indexed="8"/>
      </right>
      <top/>
      <bottom style="mediumDashed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dashed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</borders>
  <cellStyleXfs count="112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65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Font="1"/>
    <xf numFmtId="165" fontId="4" fillId="0" borderId="0" xfId="0" applyNumberFormat="1" applyFont="1" applyFill="1" applyBorder="1" applyAlignment="1" applyProtection="1">
      <alignment horizontal="center"/>
    </xf>
    <xf numFmtId="2" fontId="6" fillId="0" borderId="0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center" vertical="top"/>
    </xf>
    <xf numFmtId="164" fontId="3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/>
    </xf>
    <xf numFmtId="2" fontId="3" fillId="0" borderId="0" xfId="0" applyNumberFormat="1" applyFont="1" applyFill="1" applyBorder="1" applyAlignment="1" applyProtection="1">
      <alignment horizontal="center"/>
    </xf>
    <xf numFmtId="2" fontId="8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166" fontId="7" fillId="0" borderId="0" xfId="0" applyNumberFormat="1" applyFont="1" applyFill="1" applyBorder="1" applyAlignment="1" applyProtection="1">
      <alignment horizontal="center"/>
    </xf>
    <xf numFmtId="166" fontId="7" fillId="0" borderId="1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/>
    <xf numFmtId="166" fontId="7" fillId="0" borderId="4" xfId="0" applyNumberFormat="1" applyFont="1" applyFill="1" applyBorder="1" applyAlignment="1" applyProtection="1">
      <alignment horizontal="center"/>
    </xf>
    <xf numFmtId="166" fontId="7" fillId="0" borderId="3" xfId="0" applyNumberFormat="1" applyFont="1" applyFill="1" applyBorder="1" applyAlignment="1" applyProtection="1">
      <alignment horizontal="center"/>
    </xf>
    <xf numFmtId="0" fontId="7" fillId="0" borderId="8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/>
    </xf>
    <xf numFmtId="166" fontId="7" fillId="0" borderId="8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/>
    <xf numFmtId="166" fontId="7" fillId="0" borderId="9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/>
    </xf>
    <xf numFmtId="0" fontId="11" fillId="0" borderId="11" xfId="0" applyNumberFormat="1" applyFont="1" applyFill="1" applyBorder="1" applyAlignment="1" applyProtection="1">
      <alignment horizontal="center"/>
    </xf>
    <xf numFmtId="0" fontId="5" fillId="0" borderId="1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/>
    </xf>
    <xf numFmtId="0" fontId="3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1" fontId="15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165" fontId="16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</xf>
    <xf numFmtId="0" fontId="17" fillId="0" borderId="5" xfId="0" applyNumberFormat="1" applyFont="1" applyFill="1" applyBorder="1" applyAlignment="1" applyProtection="1">
      <alignment horizontal="center"/>
    </xf>
    <xf numFmtId="0" fontId="18" fillId="0" borderId="5" xfId="0" applyNumberFormat="1" applyFont="1" applyFill="1" applyBorder="1" applyAlignment="1" applyProtection="1">
      <alignment horizontal="center"/>
    </xf>
    <xf numFmtId="0" fontId="19" fillId="0" borderId="5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1" fillId="0" borderId="11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>
      <alignment horizontal="center"/>
    </xf>
    <xf numFmtId="0" fontId="1" fillId="0" borderId="9" xfId="0" applyNumberFormat="1" applyFont="1" applyFill="1" applyBorder="1" applyAlignment="1" applyProtection="1">
      <alignment horizontal="center"/>
    </xf>
    <xf numFmtId="164" fontId="23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0" fontId="3" fillId="0" borderId="8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164" fontId="3" fillId="0" borderId="3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>
      <alignment horizontal="center"/>
    </xf>
    <xf numFmtId="2" fontId="27" fillId="0" borderId="4" xfId="0" applyNumberFormat="1" applyFont="1" applyFill="1" applyBorder="1" applyAlignment="1" applyProtection="1">
      <alignment horizontal="center"/>
    </xf>
    <xf numFmtId="2" fontId="27" fillId="0" borderId="3" xfId="0" applyNumberFormat="1" applyFont="1" applyFill="1" applyBorder="1" applyAlignment="1" applyProtection="1">
      <alignment horizontal="center"/>
    </xf>
    <xf numFmtId="164" fontId="3" fillId="0" borderId="6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8" xfId="0" applyNumberFormat="1" applyFont="1" applyFill="1" applyBorder="1" applyAlignment="1" applyProtection="1">
      <alignment horizontal="center"/>
    </xf>
    <xf numFmtId="3" fontId="3" fillId="0" borderId="9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right"/>
    </xf>
    <xf numFmtId="0" fontId="1" fillId="0" borderId="1" xfId="0" applyFont="1" applyBorder="1"/>
    <xf numFmtId="0" fontId="5" fillId="0" borderId="9" xfId="0" applyNumberFormat="1" applyFont="1" applyFill="1" applyBorder="1" applyAlignment="1" applyProtection="1">
      <alignment horizontal="right"/>
    </xf>
    <xf numFmtId="0" fontId="1" fillId="0" borderId="3" xfId="0" applyFont="1" applyBorder="1"/>
    <xf numFmtId="3" fontId="6" fillId="0" borderId="14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6" fillId="0" borderId="9" xfId="0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2" xfId="0" applyFont="1" applyBorder="1"/>
    <xf numFmtId="0" fontId="1" fillId="0" borderId="15" xfId="0" applyFont="1" applyBorder="1"/>
    <xf numFmtId="0" fontId="5" fillId="0" borderId="7" xfId="0" applyFont="1" applyBorder="1"/>
    <xf numFmtId="3" fontId="6" fillId="0" borderId="8" xfId="0" applyNumberFormat="1" applyFont="1" applyFill="1" applyBorder="1" applyAlignment="1" applyProtection="1">
      <alignment horizontal="center"/>
    </xf>
    <xf numFmtId="167" fontId="6" fillId="0" borderId="8" xfId="0" applyNumberFormat="1" applyFont="1" applyFill="1" applyBorder="1" applyAlignment="1" applyProtection="1">
      <alignment horizontal="center"/>
    </xf>
    <xf numFmtId="167" fontId="8" fillId="0" borderId="8" xfId="0" applyNumberFormat="1" applyFont="1" applyFill="1" applyBorder="1" applyAlignment="1" applyProtection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9" xfId="0" applyNumberFormat="1" applyFont="1" applyFill="1" applyBorder="1" applyAlignment="1" applyProtection="1">
      <alignment horizontal="center"/>
    </xf>
    <xf numFmtId="0" fontId="4" fillId="0" borderId="15" xfId="0" applyFont="1" applyBorder="1" applyAlignment="1">
      <alignment horizontal="center" vertical="center"/>
    </xf>
    <xf numFmtId="0" fontId="3" fillId="0" borderId="11" xfId="0" applyNumberFormat="1" applyFont="1" applyFill="1" applyBorder="1" applyAlignment="1" applyProtection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NumberFormat="1" applyFont="1" applyFill="1" applyBorder="1" applyAlignment="1" applyProtection="1"/>
    <xf numFmtId="0" fontId="4" fillId="0" borderId="4" xfId="0" applyFont="1" applyBorder="1"/>
    <xf numFmtId="0" fontId="24" fillId="0" borderId="0" xfId="0" applyFont="1"/>
    <xf numFmtId="0" fontId="2" fillId="0" borderId="6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3" fontId="8" fillId="0" borderId="7" xfId="0" applyNumberFormat="1" applyFont="1" applyFill="1" applyBorder="1" applyAlignment="1" applyProtection="1">
      <alignment horizontal="center"/>
    </xf>
    <xf numFmtId="3" fontId="8" fillId="0" borderId="8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left"/>
    </xf>
    <xf numFmtId="0" fontId="1" fillId="0" borderId="9" xfId="0" applyFont="1" applyBorder="1"/>
    <xf numFmtId="0" fontId="5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1" fillId="0" borderId="0" xfId="0" applyNumberFormat="1" applyFont="1" applyFill="1" applyBorder="1" applyAlignment="1" applyProtection="1">
      <alignment horizontal="center"/>
    </xf>
    <xf numFmtId="0" fontId="32" fillId="0" borderId="0" xfId="0" applyNumberFormat="1" applyFont="1" applyFill="1" applyBorder="1" applyAlignment="1" applyProtection="1">
      <alignment horizontal="right"/>
    </xf>
    <xf numFmtId="0" fontId="31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3" fillId="0" borderId="0" xfId="0" quotePrefix="1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6" fillId="0" borderId="8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left"/>
    </xf>
    <xf numFmtId="0" fontId="5" fillId="0" borderId="15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/>
    </xf>
    <xf numFmtId="0" fontId="32" fillId="0" borderId="8" xfId="0" applyNumberFormat="1" applyFont="1" applyFill="1" applyBorder="1" applyAlignment="1" applyProtection="1">
      <alignment horizontal="right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31" fillId="0" borderId="1" xfId="0" applyNumberFormat="1" applyFont="1" applyFill="1" applyBorder="1" applyAlignment="1" applyProtection="1"/>
    <xf numFmtId="0" fontId="34" fillId="0" borderId="16" xfId="0" applyFont="1" applyBorder="1"/>
    <xf numFmtId="165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Alignment="1"/>
    <xf numFmtId="2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22" fillId="0" borderId="0" xfId="0" quotePrefix="1" applyFont="1"/>
    <xf numFmtId="165" fontId="7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164" fontId="26" fillId="0" borderId="0" xfId="0" applyNumberFormat="1" applyFont="1" applyAlignment="1">
      <alignment horizontal="center"/>
    </xf>
    <xf numFmtId="0" fontId="4" fillId="0" borderId="11" xfId="0" applyNumberFormat="1" applyFont="1" applyFill="1" applyBorder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center"/>
    </xf>
    <xf numFmtId="0" fontId="29" fillId="0" borderId="12" xfId="0" applyNumberFormat="1" applyFont="1" applyFill="1" applyBorder="1" applyAlignment="1" applyProtection="1">
      <alignment horizontal="center"/>
    </xf>
    <xf numFmtId="165" fontId="3" fillId="0" borderId="4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5" fontId="6" fillId="0" borderId="4" xfId="0" applyNumberFormat="1" applyFont="1" applyFill="1" applyBorder="1" applyAlignment="1" applyProtection="1">
      <alignment horizontal="center"/>
    </xf>
    <xf numFmtId="0" fontId="35" fillId="0" borderId="0" xfId="7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right"/>
    </xf>
    <xf numFmtId="0" fontId="4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66" fontId="3" fillId="0" borderId="0" xfId="0" applyNumberFormat="1" applyFont="1" applyFill="1" applyBorder="1" applyAlignment="1" applyProtection="1">
      <alignment horizontal="center"/>
    </xf>
    <xf numFmtId="165" fontId="3" fillId="0" borderId="15" xfId="0" applyNumberFormat="1" applyFont="1" applyFill="1" applyBorder="1" applyAlignment="1" applyProtection="1">
      <alignment horizontal="center"/>
    </xf>
    <xf numFmtId="165" fontId="3" fillId="0" borderId="14" xfId="0" applyNumberFormat="1" applyFont="1" applyFill="1" applyBorder="1" applyAlignment="1" applyProtection="1">
      <alignment horizontal="center"/>
    </xf>
    <xf numFmtId="2" fontId="31" fillId="0" borderId="0" xfId="0" applyNumberFormat="1" applyFont="1" applyFill="1" applyBorder="1" applyAlignment="1" applyProtection="1">
      <alignment horizontal="center"/>
    </xf>
    <xf numFmtId="1" fontId="6" fillId="0" borderId="0" xfId="0" applyNumberFormat="1" applyFont="1" applyFill="1" applyBorder="1" applyAlignment="1" applyProtection="1">
      <alignment horizontal="center"/>
    </xf>
    <xf numFmtId="0" fontId="5" fillId="0" borderId="0" xfId="0" quotePrefix="1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left"/>
    </xf>
    <xf numFmtId="0" fontId="40" fillId="0" borderId="0" xfId="7" applyFont="1" applyAlignment="1">
      <alignment horizontal="center"/>
    </xf>
    <xf numFmtId="0" fontId="41" fillId="0" borderId="0" xfId="7" applyFont="1" applyAlignment="1">
      <alignment horizontal="center"/>
    </xf>
    <xf numFmtId="0" fontId="40" fillId="0" borderId="0" xfId="7" applyFont="1"/>
    <xf numFmtId="0" fontId="41" fillId="0" borderId="0" xfId="7" applyFont="1"/>
    <xf numFmtId="0" fontId="3" fillId="0" borderId="0" xfId="0" applyFont="1" applyAlignment="1">
      <alignment horizontal="right"/>
    </xf>
    <xf numFmtId="0" fontId="5" fillId="0" borderId="0" xfId="0" quotePrefix="1" applyFont="1"/>
    <xf numFmtId="164" fontId="6" fillId="0" borderId="0" xfId="0" applyNumberFormat="1" applyFont="1" applyFill="1" applyBorder="1" applyAlignment="1" applyProtection="1">
      <alignment horizontal="center"/>
    </xf>
    <xf numFmtId="166" fontId="8" fillId="0" borderId="0" xfId="0" applyNumberFormat="1" applyFont="1" applyFill="1" applyBorder="1" applyAlignment="1" applyProtection="1">
      <alignment horizontal="center"/>
    </xf>
    <xf numFmtId="0" fontId="7" fillId="0" borderId="0" xfId="0" applyFont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64" fontId="3" fillId="0" borderId="0" xfId="0" applyNumberFormat="1" applyFont="1"/>
    <xf numFmtId="1" fontId="3" fillId="0" borderId="20" xfId="0" applyNumberFormat="1" applyFont="1" applyBorder="1" applyAlignment="1">
      <alignment horizontal="center"/>
    </xf>
    <xf numFmtId="0" fontId="3" fillId="0" borderId="19" xfId="0" applyFont="1" applyBorder="1"/>
    <xf numFmtId="168" fontId="3" fillId="0" borderId="0" xfId="0" applyNumberFormat="1" applyFont="1" applyAlignment="1">
      <alignment horizontal="center"/>
    </xf>
    <xf numFmtId="168" fontId="8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23" xfId="0" applyNumberFormat="1" applyFont="1" applyFill="1" applyBorder="1" applyAlignment="1" applyProtection="1"/>
    <xf numFmtId="165" fontId="3" fillId="0" borderId="24" xfId="0" applyNumberFormat="1" applyFont="1" applyFill="1" applyBorder="1" applyAlignment="1" applyProtection="1">
      <alignment horizontal="center"/>
    </xf>
    <xf numFmtId="0" fontId="3" fillId="0" borderId="25" xfId="0" applyNumberFormat="1" applyFont="1" applyFill="1" applyBorder="1" applyAlignment="1" applyProtection="1">
      <alignment horizontal="left"/>
    </xf>
    <xf numFmtId="165" fontId="3" fillId="0" borderId="24" xfId="0" applyNumberFormat="1" applyFont="1" applyFill="1" applyBorder="1" applyAlignment="1" applyProtection="1">
      <alignment horizontal="center"/>
    </xf>
    <xf numFmtId="0" fontId="6" fillId="0" borderId="24" xfId="0" applyNumberFormat="1" applyFont="1" applyFill="1" applyBorder="1" applyAlignment="1" applyProtection="1">
      <alignment horizontal="center"/>
    </xf>
    <xf numFmtId="164" fontId="3" fillId="0" borderId="26" xfId="0" applyNumberFormat="1" applyFont="1" applyFill="1" applyBorder="1" applyAlignment="1" applyProtection="1">
      <alignment horizontal="center"/>
    </xf>
    <xf numFmtId="0" fontId="3" fillId="0" borderId="27" xfId="0" applyNumberFormat="1" applyFont="1" applyFill="1" applyBorder="1" applyAlignment="1" applyProtection="1"/>
    <xf numFmtId="0" fontId="1" fillId="0" borderId="28" xfId="0" applyNumberFormat="1" applyFont="1" applyFill="1" applyBorder="1" applyAlignment="1" applyProtection="1"/>
    <xf numFmtId="0" fontId="3" fillId="0" borderId="0" xfId="0" applyFont="1" applyBorder="1"/>
    <xf numFmtId="0" fontId="3" fillId="0" borderId="28" xfId="0" applyNumberFormat="1" applyFont="1" applyFill="1" applyBorder="1" applyAlignment="1" applyProtection="1">
      <alignment horizontal="left"/>
    </xf>
    <xf numFmtId="165" fontId="8" fillId="0" borderId="21" xfId="0" applyNumberFormat="1" applyFont="1" applyFill="1" applyBorder="1" applyAlignment="1" applyProtection="1">
      <alignment horizontal="center"/>
    </xf>
    <xf numFmtId="165" fontId="6" fillId="0" borderId="24" xfId="0" applyNumberFormat="1" applyFont="1" applyFill="1" applyBorder="1" applyAlignment="1" applyProtection="1">
      <alignment horizontal="center"/>
    </xf>
    <xf numFmtId="0" fontId="1" fillId="0" borderId="23" xfId="0" applyNumberFormat="1" applyFont="1" applyFill="1" applyBorder="1" applyAlignment="1" applyProtection="1"/>
    <xf numFmtId="0" fontId="1" fillId="0" borderId="25" xfId="0" applyNumberFormat="1" applyFont="1" applyFill="1" applyBorder="1" applyAlignment="1" applyProtection="1"/>
    <xf numFmtId="0" fontId="7" fillId="0" borderId="0" xfId="0" applyFont="1" applyAlignment="1">
      <alignment horizontal="center"/>
    </xf>
    <xf numFmtId="0" fontId="3" fillId="0" borderId="21" xfId="0" applyFont="1" applyBorder="1"/>
    <xf numFmtId="0" fontId="4" fillId="0" borderId="22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3" fillId="0" borderId="25" xfId="0" applyFont="1" applyBorder="1"/>
    <xf numFmtId="0" fontId="7" fillId="0" borderId="24" xfId="0" applyFont="1" applyBorder="1"/>
    <xf numFmtId="1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8" fillId="0" borderId="0" xfId="0" applyFont="1"/>
    <xf numFmtId="0" fontId="2" fillId="0" borderId="0" xfId="0" applyFont="1" applyAlignment="1">
      <alignment horizontal="center"/>
    </xf>
    <xf numFmtId="165" fontId="6" fillId="0" borderId="21" xfId="0" applyNumberFormat="1" applyFont="1" applyFill="1" applyBorder="1" applyAlignment="1" applyProtection="1">
      <alignment horizontal="center"/>
    </xf>
    <xf numFmtId="165" fontId="8" fillId="0" borderId="24" xfId="0" applyNumberFormat="1" applyFont="1" applyFill="1" applyBorder="1" applyAlignment="1" applyProtection="1">
      <alignment horizontal="center"/>
    </xf>
    <xf numFmtId="0" fontId="44" fillId="0" borderId="0" xfId="0" applyFont="1"/>
    <xf numFmtId="0" fontId="25" fillId="0" borderId="24" xfId="0" applyFont="1" applyBorder="1"/>
    <xf numFmtId="1" fontId="25" fillId="0" borderId="0" xfId="0" applyNumberFormat="1" applyFont="1" applyBorder="1" applyAlignment="1">
      <alignment horizontal="center"/>
    </xf>
    <xf numFmtId="0" fontId="25" fillId="0" borderId="0" xfId="0" applyFont="1" applyBorder="1"/>
    <xf numFmtId="165" fontId="6" fillId="0" borderId="26" xfId="0" applyNumberFormat="1" applyFont="1" applyFill="1" applyBorder="1" applyAlignment="1" applyProtection="1">
      <alignment horizontal="center"/>
    </xf>
    <xf numFmtId="0" fontId="7" fillId="0" borderId="26" xfId="0" applyFont="1" applyBorder="1"/>
    <xf numFmtId="1" fontId="7" fillId="0" borderId="27" xfId="0" applyNumberFormat="1" applyFont="1" applyBorder="1" applyAlignment="1">
      <alignment horizontal="center"/>
    </xf>
    <xf numFmtId="0" fontId="7" fillId="0" borderId="27" xfId="0" applyFont="1" applyBorder="1"/>
    <xf numFmtId="0" fontId="3" fillId="0" borderId="27" xfId="0" applyFont="1" applyBorder="1"/>
    <xf numFmtId="0" fontId="3" fillId="0" borderId="28" xfId="0" applyFont="1" applyBorder="1"/>
    <xf numFmtId="166" fontId="3" fillId="0" borderId="0" xfId="0" applyNumberFormat="1" applyFont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0" xfId="0" quotePrefix="1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11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vertical="center"/>
    </xf>
    <xf numFmtId="0" fontId="1" fillId="0" borderId="0" xfId="0" applyFont="1" applyBorder="1"/>
    <xf numFmtId="165" fontId="1" fillId="0" borderId="0" xfId="0" applyNumberFormat="1" applyFont="1"/>
    <xf numFmtId="1" fontId="37" fillId="0" borderId="0" xfId="0" applyNumberFormat="1" applyFont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29" xfId="0" applyNumberFormat="1" applyFont="1" applyFill="1" applyBorder="1" applyAlignment="1" applyProtection="1"/>
    <xf numFmtId="0" fontId="5" fillId="0" borderId="29" xfId="0" applyNumberFormat="1" applyFont="1" applyFill="1" applyBorder="1" applyAlignment="1" applyProtection="1">
      <alignment horizontal="right"/>
    </xf>
    <xf numFmtId="2" fontId="3" fillId="0" borderId="29" xfId="0" applyNumberFormat="1" applyFont="1" applyFill="1" applyBorder="1" applyAlignment="1" applyProtection="1">
      <alignment horizontal="center"/>
    </xf>
    <xf numFmtId="0" fontId="7" fillId="0" borderId="29" xfId="0" applyNumberFormat="1" applyFont="1" applyFill="1" applyBorder="1" applyAlignment="1" applyProtection="1">
      <alignment horizontal="center"/>
    </xf>
    <xf numFmtId="0" fontId="4" fillId="0" borderId="29" xfId="0" applyNumberFormat="1" applyFont="1" applyFill="1" applyBorder="1" applyAlignment="1" applyProtection="1">
      <alignment horizontal="center"/>
    </xf>
    <xf numFmtId="0" fontId="1" fillId="0" borderId="31" xfId="0" applyNumberFormat="1" applyFont="1" applyFill="1" applyBorder="1" applyAlignment="1" applyProtection="1"/>
    <xf numFmtId="0" fontId="1" fillId="0" borderId="32" xfId="0" applyNumberFormat="1" applyFont="1" applyFill="1" applyBorder="1" applyAlignment="1" applyProtection="1"/>
    <xf numFmtId="0" fontId="1" fillId="0" borderId="33" xfId="0" applyNumberFormat="1" applyFont="1" applyFill="1" applyBorder="1" applyAlignment="1" applyProtection="1"/>
    <xf numFmtId="0" fontId="1" fillId="0" borderId="34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horizontal="center" vertical="center"/>
    </xf>
    <xf numFmtId="0" fontId="3" fillId="0" borderId="31" xfId="0" applyNumberFormat="1" applyFont="1" applyFill="1" applyBorder="1" applyAlignment="1" applyProtection="1"/>
    <xf numFmtId="0" fontId="3" fillId="0" borderId="29" xfId="0" applyNumberFormat="1" applyFont="1" applyFill="1" applyBorder="1" applyAlignment="1" applyProtection="1"/>
    <xf numFmtId="0" fontId="4" fillId="0" borderId="0" xfId="0" applyFont="1" applyAlignment="1">
      <alignment horizontal="center" vertical="top"/>
    </xf>
    <xf numFmtId="0" fontId="30" fillId="0" borderId="0" xfId="0" applyFont="1"/>
    <xf numFmtId="0" fontId="49" fillId="0" borderId="0" xfId="0" applyNumberFormat="1" applyFont="1" applyFill="1" applyBorder="1" applyAlignment="1" applyProtection="1">
      <alignment horizontal="center"/>
    </xf>
    <xf numFmtId="0" fontId="50" fillId="0" borderId="0" xfId="0" applyNumberFormat="1" applyFont="1" applyFill="1" applyBorder="1" applyAlignment="1" applyProtection="1">
      <alignment horizontal="center"/>
    </xf>
    <xf numFmtId="1" fontId="50" fillId="0" borderId="0" xfId="0" applyNumberFormat="1" applyFont="1" applyFill="1" applyBorder="1" applyAlignment="1" applyProtection="1">
      <alignment horizontal="center"/>
    </xf>
    <xf numFmtId="164" fontId="50" fillId="0" borderId="0" xfId="0" applyNumberFormat="1" applyFont="1" applyFill="1" applyBorder="1" applyAlignment="1" applyProtection="1">
      <alignment horizontal="center"/>
    </xf>
    <xf numFmtId="0" fontId="52" fillId="0" borderId="0" xfId="0" applyNumberFormat="1" applyFont="1" applyFill="1" applyBorder="1" applyAlignment="1" applyProtection="1">
      <alignment horizontal="center"/>
    </xf>
    <xf numFmtId="0" fontId="50" fillId="0" borderId="0" xfId="0" applyNumberFormat="1" applyFont="1" applyFill="1" applyBorder="1" applyAlignment="1" applyProtection="1"/>
    <xf numFmtId="1" fontId="50" fillId="0" borderId="7" xfId="0" applyNumberFormat="1" applyFont="1" applyFill="1" applyBorder="1" applyAlignment="1" applyProtection="1">
      <alignment horizontal="center"/>
    </xf>
    <xf numFmtId="0" fontId="50" fillId="0" borderId="2" xfId="0" applyFont="1" applyBorder="1"/>
    <xf numFmtId="0" fontId="51" fillId="0" borderId="0" xfId="0" applyFont="1" applyAlignment="1">
      <alignment horizontal="center"/>
    </xf>
    <xf numFmtId="165" fontId="50" fillId="0" borderId="0" xfId="0" applyNumberFormat="1" applyFont="1" applyAlignment="1">
      <alignment horizontal="center"/>
    </xf>
    <xf numFmtId="164" fontId="50" fillId="0" borderId="0" xfId="0" applyNumberFormat="1" applyFont="1" applyAlignment="1">
      <alignment horizontal="center"/>
    </xf>
    <xf numFmtId="0" fontId="53" fillId="0" borderId="30" xfId="0" applyNumberFormat="1" applyFont="1" applyFill="1" applyBorder="1" applyAlignment="1" applyProtection="1">
      <alignment horizontal="center"/>
    </xf>
    <xf numFmtId="0" fontId="54" fillId="0" borderId="30" xfId="0" applyNumberFormat="1" applyFont="1" applyFill="1" applyBorder="1" applyAlignment="1" applyProtection="1">
      <alignment horizontal="center"/>
    </xf>
    <xf numFmtId="0" fontId="54" fillId="0" borderId="30" xfId="0" applyNumberFormat="1" applyFont="1" applyFill="1" applyBorder="1" applyAlignment="1" applyProtection="1">
      <alignment horizontal="left"/>
    </xf>
    <xf numFmtId="0" fontId="54" fillId="0" borderId="0" xfId="0" applyNumberFormat="1" applyFont="1" applyFill="1" applyBorder="1" applyAlignment="1" applyProtection="1">
      <alignment horizontal="left"/>
    </xf>
    <xf numFmtId="0" fontId="55" fillId="0" borderId="0" xfId="0" applyNumberFormat="1" applyFont="1" applyFill="1" applyBorder="1" applyAlignment="1" applyProtection="1">
      <alignment horizontal="center"/>
    </xf>
    <xf numFmtId="164" fontId="54" fillId="0" borderId="0" xfId="0" applyNumberFormat="1" applyFont="1" applyFill="1" applyBorder="1" applyAlignment="1" applyProtection="1">
      <alignment horizontal="center"/>
    </xf>
    <xf numFmtId="0" fontId="56" fillId="0" borderId="0" xfId="0" applyFont="1" applyAlignment="1">
      <alignment horizontal="center"/>
    </xf>
    <xf numFmtId="165" fontId="54" fillId="0" borderId="0" xfId="0" applyNumberFormat="1" applyFont="1" applyAlignment="1">
      <alignment horizontal="center"/>
    </xf>
    <xf numFmtId="164" fontId="54" fillId="0" borderId="0" xfId="0" applyNumberFormat="1" applyFont="1" applyAlignment="1">
      <alignment horizontal="center"/>
    </xf>
    <xf numFmtId="164" fontId="8" fillId="0" borderId="33" xfId="0" applyNumberFormat="1" applyFont="1" applyFill="1" applyBorder="1" applyAlignment="1" applyProtection="1">
      <alignment horizontal="left"/>
    </xf>
    <xf numFmtId="165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" fontId="8" fillId="0" borderId="9" xfId="0" applyNumberFormat="1" applyFont="1" applyBorder="1" applyAlignment="1">
      <alignment horizontal="center"/>
    </xf>
    <xf numFmtId="0" fontId="8" fillId="0" borderId="3" xfId="0" applyFont="1" applyBorder="1"/>
    <xf numFmtId="1" fontId="8" fillId="0" borderId="8" xfId="0" applyNumberFormat="1" applyFont="1" applyFill="1" applyBorder="1" applyAlignment="1" applyProtection="1">
      <alignment horizontal="center"/>
    </xf>
    <xf numFmtId="0" fontId="8" fillId="0" borderId="1" xfId="0" applyFont="1" applyBorder="1"/>
    <xf numFmtId="1" fontId="54" fillId="0" borderId="8" xfId="0" applyNumberFormat="1" applyFont="1" applyBorder="1" applyAlignment="1">
      <alignment horizontal="center"/>
    </xf>
    <xf numFmtId="0" fontId="54" fillId="0" borderId="1" xfId="0" applyFont="1" applyBorder="1"/>
    <xf numFmtId="0" fontId="3" fillId="0" borderId="1" xfId="0" applyFont="1" applyBorder="1"/>
    <xf numFmtId="0" fontId="57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left"/>
    </xf>
    <xf numFmtId="164" fontId="46" fillId="0" borderId="36" xfId="0" applyNumberFormat="1" applyFont="1" applyFill="1" applyBorder="1" applyAlignment="1" applyProtection="1">
      <alignment horizontal="center"/>
    </xf>
    <xf numFmtId="164" fontId="46" fillId="0" borderId="37" xfId="0" applyNumberFormat="1" applyFont="1" applyFill="1" applyBorder="1" applyAlignment="1" applyProtection="1">
      <alignment horizontal="center"/>
    </xf>
    <xf numFmtId="0" fontId="23" fillId="0" borderId="24" xfId="0" applyNumberFormat="1" applyFont="1" applyFill="1" applyBorder="1" applyAlignment="1" applyProtection="1">
      <alignment horizontal="center"/>
    </xf>
    <xf numFmtId="165" fontId="8" fillId="0" borderId="38" xfId="0" applyNumberFormat="1" applyFont="1" applyFill="1" applyBorder="1" applyAlignment="1" applyProtection="1">
      <alignment horizontal="center"/>
    </xf>
    <xf numFmtId="0" fontId="3" fillId="0" borderId="39" xfId="0" applyNumberFormat="1" applyFont="1" applyFill="1" applyBorder="1" applyAlignment="1" applyProtection="1"/>
    <xf numFmtId="165" fontId="3" fillId="0" borderId="40" xfId="0" applyNumberFormat="1" applyFont="1" applyFill="1" applyBorder="1" applyAlignment="1" applyProtection="1">
      <alignment horizontal="center"/>
    </xf>
    <xf numFmtId="0" fontId="3" fillId="0" borderId="41" xfId="0" applyNumberFormat="1" applyFont="1" applyFill="1" applyBorder="1" applyAlignment="1" applyProtection="1">
      <alignment horizontal="left"/>
    </xf>
    <xf numFmtId="0" fontId="5" fillId="0" borderId="33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>
      <alignment horizontal="center"/>
    </xf>
    <xf numFmtId="164" fontId="58" fillId="0" borderId="2" xfId="0" applyNumberFormat="1" applyFont="1" applyFill="1" applyBorder="1" applyAlignment="1" applyProtection="1">
      <alignment horizontal="center"/>
    </xf>
    <xf numFmtId="164" fontId="54" fillId="0" borderId="1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>
      <alignment horizontal="center"/>
    </xf>
    <xf numFmtId="168" fontId="3" fillId="0" borderId="0" xfId="0" applyNumberFormat="1" applyFont="1" applyFill="1" applyBorder="1" applyAlignment="1" applyProtection="1">
      <alignment horizontal="left"/>
    </xf>
    <xf numFmtId="0" fontId="59" fillId="0" borderId="0" xfId="0" quotePrefix="1" applyNumberFormat="1" applyFont="1" applyFill="1" applyBorder="1" applyAlignment="1" applyProtection="1">
      <alignment horizontal="left"/>
    </xf>
    <xf numFmtId="168" fontId="50" fillId="0" borderId="0" xfId="0" applyNumberFormat="1" applyFont="1" applyFill="1" applyBorder="1" applyAlignment="1" applyProtection="1">
      <alignment horizontal="center"/>
    </xf>
    <xf numFmtId="168" fontId="54" fillId="0" borderId="0" xfId="0" applyNumberFormat="1" applyFont="1" applyFill="1" applyBorder="1" applyAlignment="1" applyProtection="1">
      <alignment horizontal="center"/>
    </xf>
    <xf numFmtId="165" fontId="57" fillId="0" borderId="0" xfId="0" applyNumberFormat="1" applyFont="1" applyFill="1" applyBorder="1" applyAlignment="1" applyProtection="1">
      <alignment horizontal="center"/>
    </xf>
    <xf numFmtId="164" fontId="8" fillId="0" borderId="35" xfId="0" applyNumberFormat="1" applyFont="1" applyBorder="1" applyAlignment="1">
      <alignment horizontal="center"/>
    </xf>
    <xf numFmtId="164" fontId="6" fillId="0" borderId="33" xfId="0" applyNumberFormat="1" applyFont="1" applyFill="1" applyBorder="1" applyAlignment="1" applyProtection="1">
      <alignment horizontal="left"/>
    </xf>
    <xf numFmtId="164" fontId="49" fillId="0" borderId="0" xfId="0" applyNumberFormat="1" applyFont="1" applyFill="1" applyBorder="1" applyAlignment="1" applyProtection="1">
      <alignment horizontal="center"/>
    </xf>
    <xf numFmtId="164" fontId="53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42" fillId="0" borderId="0" xfId="0" applyNumberFormat="1" applyFont="1" applyFill="1" applyBorder="1" applyAlignment="1" applyProtection="1"/>
    <xf numFmtId="0" fontId="23" fillId="0" borderId="32" xfId="0" applyNumberFormat="1" applyFont="1" applyFill="1" applyBorder="1" applyAlignment="1" applyProtection="1">
      <alignment horizontal="center"/>
    </xf>
    <xf numFmtId="0" fontId="23" fillId="0" borderId="33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vertical="center"/>
    </xf>
    <xf numFmtId="0" fontId="1" fillId="0" borderId="45" xfId="0" applyNumberFormat="1" applyFont="1" applyFill="1" applyBorder="1" applyAlignment="1" applyProtection="1"/>
    <xf numFmtId="0" fontId="42" fillId="0" borderId="0" xfId="0" applyNumberFormat="1" applyFont="1" applyFill="1" applyBorder="1" applyAlignment="1" applyProtection="1">
      <alignment horizontal="center"/>
    </xf>
    <xf numFmtId="0" fontId="1" fillId="0" borderId="44" xfId="0" applyNumberFormat="1" applyFont="1" applyFill="1" applyBorder="1" applyAlignment="1" applyProtection="1"/>
    <xf numFmtId="0" fontId="1" fillId="0" borderId="47" xfId="0" applyNumberFormat="1" applyFont="1" applyFill="1" applyBorder="1" applyAlignment="1" applyProtection="1"/>
    <xf numFmtId="0" fontId="1" fillId="0" borderId="49" xfId="0" applyNumberFormat="1" applyFont="1" applyFill="1" applyBorder="1" applyAlignment="1" applyProtection="1"/>
    <xf numFmtId="0" fontId="1" fillId="0" borderId="50" xfId="0" applyNumberFormat="1" applyFont="1" applyFill="1" applyBorder="1" applyAlignment="1" applyProtection="1"/>
    <xf numFmtId="0" fontId="1" fillId="0" borderId="51" xfId="0" applyNumberFormat="1" applyFont="1" applyFill="1" applyBorder="1" applyAlignment="1" applyProtection="1"/>
    <xf numFmtId="0" fontId="42" fillId="0" borderId="0" xfId="0" applyNumberFormat="1" applyFont="1" applyFill="1" applyBorder="1" applyAlignment="1" applyProtection="1">
      <alignment vertical="center"/>
    </xf>
    <xf numFmtId="0" fontId="3" fillId="0" borderId="25" xfId="0" applyFont="1" applyBorder="1" applyAlignment="1">
      <alignment horizontal="left"/>
    </xf>
    <xf numFmtId="164" fontId="22" fillId="0" borderId="0" xfId="0" applyNumberFormat="1" applyFont="1" applyFill="1" applyBorder="1" applyAlignment="1" applyProtection="1">
      <alignment horizontal="left"/>
    </xf>
    <xf numFmtId="0" fontId="5" fillId="0" borderId="53" xfId="0" applyNumberFormat="1" applyFont="1" applyFill="1" applyBorder="1" applyAlignment="1" applyProtection="1"/>
    <xf numFmtId="164" fontId="22" fillId="0" borderId="53" xfId="0" applyNumberFormat="1" applyFont="1" applyFill="1" applyBorder="1" applyAlignment="1" applyProtection="1">
      <alignment horizontal="left"/>
    </xf>
    <xf numFmtId="0" fontId="5" fillId="0" borderId="53" xfId="0" applyNumberFormat="1" applyFont="1" applyFill="1" applyBorder="1" applyAlignment="1" applyProtection="1">
      <alignment horizontal="right"/>
    </xf>
    <xf numFmtId="2" fontId="3" fillId="0" borderId="53" xfId="0" applyNumberFormat="1" applyFont="1" applyFill="1" applyBorder="1" applyAlignment="1" applyProtection="1">
      <alignment horizontal="center"/>
    </xf>
    <xf numFmtId="0" fontId="1" fillId="0" borderId="54" xfId="0" applyNumberFormat="1" applyFont="1" applyFill="1" applyBorder="1" applyAlignment="1" applyProtection="1"/>
    <xf numFmtId="0" fontId="1" fillId="0" borderId="53" xfId="0" applyNumberFormat="1" applyFont="1" applyFill="1" applyBorder="1" applyAlignment="1" applyProtection="1"/>
    <xf numFmtId="0" fontId="7" fillId="0" borderId="52" xfId="0" applyNumberFormat="1" applyFont="1" applyFill="1" applyBorder="1" applyAlignment="1" applyProtection="1">
      <alignment vertical="center"/>
    </xf>
    <xf numFmtId="0" fontId="42" fillId="0" borderId="0" xfId="0" applyNumberFormat="1" applyFont="1" applyFill="1" applyBorder="1" applyAlignment="1" applyProtection="1">
      <alignment horizontal="right" vertical="center"/>
    </xf>
    <xf numFmtId="0" fontId="63" fillId="0" borderId="13" xfId="0" applyNumberFormat="1" applyFont="1" applyFill="1" applyBorder="1" applyAlignment="1" applyProtection="1">
      <alignment horizontal="center"/>
    </xf>
    <xf numFmtId="0" fontId="63" fillId="0" borderId="6" xfId="0" applyNumberFormat="1" applyFont="1" applyFill="1" applyBorder="1" applyAlignment="1" applyProtection="1">
      <alignment horizontal="center"/>
    </xf>
    <xf numFmtId="0" fontId="64" fillId="0" borderId="33" xfId="0" applyNumberFormat="1" applyFont="1" applyFill="1" applyBorder="1" applyAlignment="1" applyProtection="1">
      <alignment horizontal="center"/>
    </xf>
    <xf numFmtId="0" fontId="48" fillId="0" borderId="48" xfId="0" applyNumberFormat="1" applyFont="1" applyFill="1" applyBorder="1" applyAlignment="1" applyProtection="1">
      <alignment horizontal="center"/>
    </xf>
    <xf numFmtId="164" fontId="63" fillId="0" borderId="43" xfId="0" applyNumberFormat="1" applyFont="1" applyFill="1" applyBorder="1" applyAlignment="1" applyProtection="1">
      <alignment horizontal="center"/>
    </xf>
    <xf numFmtId="165" fontId="63" fillId="0" borderId="42" xfId="0" applyNumberFormat="1" applyFont="1" applyFill="1" applyBorder="1" applyAlignment="1" applyProtection="1">
      <alignment horizontal="center"/>
    </xf>
    <xf numFmtId="0" fontId="25" fillId="4" borderId="24" xfId="0" applyFont="1" applyFill="1" applyBorder="1"/>
    <xf numFmtId="1" fontId="25" fillId="4" borderId="0" xfId="0" applyNumberFormat="1" applyFont="1" applyFill="1" applyBorder="1" applyAlignment="1">
      <alignment horizontal="center"/>
    </xf>
    <xf numFmtId="0" fontId="25" fillId="4" borderId="0" xfId="0" applyFont="1" applyFill="1" applyBorder="1"/>
    <xf numFmtId="0" fontId="45" fillId="4" borderId="0" xfId="0" applyFont="1" applyFill="1" applyBorder="1"/>
    <xf numFmtId="0" fontId="3" fillId="4" borderId="0" xfId="0" applyNumberFormat="1" applyFont="1" applyFill="1" applyBorder="1" applyAlignment="1" applyProtection="1">
      <alignment horizontal="center"/>
    </xf>
    <xf numFmtId="165" fontId="3" fillId="4" borderId="0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Border="1" applyAlignment="1" applyProtection="1"/>
    <xf numFmtId="0" fontId="24" fillId="4" borderId="0" xfId="0" applyFont="1" applyFill="1"/>
    <xf numFmtId="0" fontId="3" fillId="4" borderId="0" xfId="0" applyFont="1" applyFill="1" applyBorder="1"/>
    <xf numFmtId="0" fontId="24" fillId="0" borderId="0" xfId="0" applyFont="1" applyFill="1"/>
    <xf numFmtId="0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center"/>
    </xf>
    <xf numFmtId="0" fontId="41" fillId="0" borderId="0" xfId="7" applyNumberFormat="1" applyFont="1" applyFill="1" applyBorder="1" applyAlignment="1" applyProtection="1"/>
    <xf numFmtId="164" fontId="8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0" fontId="47" fillId="0" borderId="0" xfId="0" applyFont="1" applyBorder="1"/>
    <xf numFmtId="0" fontId="47" fillId="0" borderId="0" xfId="0" applyFont="1" applyBorder="1" applyAlignment="1">
      <alignment horizontal="center"/>
    </xf>
    <xf numFmtId="166" fontId="47" fillId="0" borderId="0" xfId="0" applyNumberFormat="1" applyFont="1" applyBorder="1" applyAlignment="1">
      <alignment horizontal="center"/>
    </xf>
    <xf numFmtId="0" fontId="66" fillId="0" borderId="0" xfId="7" applyNumberFormat="1" applyFont="1" applyFill="1" applyBorder="1" applyAlignment="1" applyProtection="1"/>
    <xf numFmtId="0" fontId="67" fillId="0" borderId="0" xfId="7" applyNumberFormat="1" applyFont="1" applyFill="1" applyBorder="1" applyAlignment="1" applyProtection="1"/>
    <xf numFmtId="0" fontId="67" fillId="0" borderId="0" xfId="7" applyFont="1"/>
    <xf numFmtId="0" fontId="67" fillId="0" borderId="0" xfId="7" applyFont="1" applyAlignment="1">
      <alignment horizontal="left"/>
    </xf>
    <xf numFmtId="0" fontId="67" fillId="0" borderId="0" xfId="7" applyFont="1" applyAlignment="1">
      <alignment horizontal="center"/>
    </xf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3" xfId="0" applyFont="1" applyBorder="1" applyAlignment="1"/>
    <xf numFmtId="0" fontId="1" fillId="0" borderId="0" xfId="0" applyFont="1" applyBorder="1" applyAlignment="1"/>
    <xf numFmtId="0" fontId="69" fillId="0" borderId="0" xfId="7" applyFont="1"/>
    <xf numFmtId="0" fontId="39" fillId="0" borderId="0" xfId="7" applyFont="1"/>
    <xf numFmtId="0" fontId="70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Alignment="1" applyProtection="1">
      <alignment horizontal="center"/>
    </xf>
    <xf numFmtId="164" fontId="5" fillId="0" borderId="29" xfId="0" applyNumberFormat="1" applyFont="1" applyFill="1" applyBorder="1" applyAlignment="1" applyProtection="1">
      <alignment horizontal="center"/>
    </xf>
    <xf numFmtId="0" fontId="60" fillId="0" borderId="55" xfId="0" applyFont="1" applyBorder="1" applyAlignment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0" fontId="68" fillId="0" borderId="0" xfId="0" applyFont="1" applyAlignment="1">
      <alignment horizontal="center"/>
    </xf>
    <xf numFmtId="0" fontId="3" fillId="5" borderId="0" xfId="0" applyNumberFormat="1" applyFont="1" applyFill="1" applyBorder="1" applyAlignment="1" applyProtection="1">
      <alignment horizontal="center"/>
    </xf>
    <xf numFmtId="0" fontId="65" fillId="0" borderId="0" xfId="0" applyNumberFormat="1" applyFont="1" applyFill="1" applyBorder="1" applyAlignment="1" applyProtection="1">
      <alignment horizontal="center" vertical="center"/>
    </xf>
    <xf numFmtId="0" fontId="72" fillId="0" borderId="0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/>
    </xf>
    <xf numFmtId="0" fontId="71" fillId="0" borderId="5" xfId="7" applyNumberFormat="1" applyFont="1" applyFill="1" applyBorder="1" applyAlignment="1" applyProtection="1">
      <alignment horizontal="center"/>
    </xf>
    <xf numFmtId="0" fontId="74" fillId="0" borderId="0" xfId="0" applyFont="1" applyAlignment="1">
      <alignment horizontal="center"/>
    </xf>
    <xf numFmtId="0" fontId="1" fillId="0" borderId="43" xfId="0" applyNumberFormat="1" applyFont="1" applyFill="1" applyBorder="1" applyAlignment="1" applyProtection="1"/>
    <xf numFmtId="0" fontId="74" fillId="0" borderId="44" xfId="0" applyNumberFormat="1" applyFont="1" applyFill="1" applyBorder="1" applyAlignment="1" applyProtection="1">
      <alignment horizontal="center"/>
    </xf>
    <xf numFmtId="0" fontId="7" fillId="0" borderId="33" xfId="0" applyNumberFormat="1" applyFont="1" applyFill="1" applyBorder="1" applyAlignment="1" applyProtection="1">
      <alignment horizontal="center"/>
    </xf>
    <xf numFmtId="2" fontId="74" fillId="0" borderId="44" xfId="0" applyNumberFormat="1" applyFont="1" applyFill="1" applyBorder="1" applyAlignment="1" applyProtection="1">
      <alignment horizontal="center"/>
    </xf>
    <xf numFmtId="0" fontId="73" fillId="0" borderId="0" xfId="0" applyFont="1"/>
    <xf numFmtId="0" fontId="4" fillId="0" borderId="33" xfId="0" applyNumberFormat="1" applyFont="1" applyFill="1" applyBorder="1" applyAlignment="1" applyProtection="1">
      <alignment horizontal="center"/>
    </xf>
    <xf numFmtId="0" fontId="41" fillId="0" borderId="14" xfId="7" applyNumberFormat="1" applyFont="1" applyFill="1" applyBorder="1" applyAlignment="1" applyProtection="1">
      <alignment horizontal="center"/>
    </xf>
    <xf numFmtId="0" fontId="5" fillId="0" borderId="44" xfId="0" applyNumberFormat="1" applyFont="1" applyFill="1" applyBorder="1" applyAlignment="1" applyProtection="1">
      <alignment horizontal="right"/>
    </xf>
    <xf numFmtId="0" fontId="5" fillId="0" borderId="33" xfId="0" applyNumberFormat="1" applyFont="1" applyFill="1" applyBorder="1" applyAlignment="1" applyProtection="1">
      <alignment horizontal="left"/>
    </xf>
    <xf numFmtId="0" fontId="4" fillId="0" borderId="44" xfId="0" applyNumberFormat="1" applyFont="1" applyFill="1" applyBorder="1" applyAlignment="1" applyProtection="1">
      <alignment horizontal="center"/>
    </xf>
    <xf numFmtId="165" fontId="75" fillId="0" borderId="0" xfId="0" applyNumberFormat="1" applyFont="1" applyFill="1" applyBorder="1" applyAlignment="1" applyProtection="1">
      <alignment horizontal="center"/>
    </xf>
    <xf numFmtId="0" fontId="73" fillId="0" borderId="33" xfId="0" applyNumberFormat="1" applyFont="1" applyFill="1" applyBorder="1" applyAlignment="1" applyProtection="1">
      <alignment horizontal="center"/>
    </xf>
    <xf numFmtId="0" fontId="76" fillId="0" borderId="0" xfId="0" applyNumberFormat="1" applyFont="1" applyFill="1" applyBorder="1" applyAlignment="1" applyProtection="1">
      <alignment horizontal="right"/>
    </xf>
    <xf numFmtId="0" fontId="79" fillId="0" borderId="0" xfId="0" applyFont="1"/>
    <xf numFmtId="2" fontId="4" fillId="0" borderId="0" xfId="0" applyNumberFormat="1" applyFont="1" applyFill="1" applyBorder="1" applyAlignment="1" applyProtection="1">
      <alignment horizontal="center"/>
    </xf>
    <xf numFmtId="2" fontId="75" fillId="0" borderId="0" xfId="0" applyNumberFormat="1" applyFont="1" applyFill="1" applyBorder="1" applyAlignment="1" applyProtection="1">
      <alignment horizontal="center"/>
    </xf>
    <xf numFmtId="0" fontId="12" fillId="0" borderId="5" xfId="7" applyNumberFormat="1" applyFont="1" applyFill="1" applyBorder="1" applyAlignment="1" applyProtection="1">
      <alignment horizontal="center"/>
    </xf>
    <xf numFmtId="0" fontId="73" fillId="0" borderId="29" xfId="0" applyNumberFormat="1" applyFont="1" applyFill="1" applyBorder="1" applyAlignment="1" applyProtection="1">
      <alignment horizontal="left"/>
    </xf>
    <xf numFmtId="0" fontId="1" fillId="0" borderId="57" xfId="0" applyNumberFormat="1" applyFont="1" applyFill="1" applyBorder="1" applyAlignment="1" applyProtection="1"/>
    <xf numFmtId="0" fontId="7" fillId="0" borderId="58" xfId="0" applyNumberFormat="1" applyFont="1" applyFill="1" applyBorder="1" applyAlignment="1" applyProtection="1">
      <alignment horizontal="center"/>
    </xf>
    <xf numFmtId="0" fontId="7" fillId="0" borderId="59" xfId="0" applyNumberFormat="1" applyFont="1" applyFill="1" applyBorder="1" applyAlignment="1" applyProtection="1">
      <alignment horizontal="right"/>
    </xf>
    <xf numFmtId="0" fontId="1" fillId="0" borderId="60" xfId="0" applyNumberFormat="1" applyFont="1" applyFill="1" applyBorder="1" applyAlignment="1" applyProtection="1"/>
    <xf numFmtId="0" fontId="1" fillId="0" borderId="61" xfId="0" applyNumberFormat="1" applyFont="1" applyFill="1" applyBorder="1" applyAlignment="1" applyProtection="1"/>
    <xf numFmtId="165" fontId="3" fillId="0" borderId="44" xfId="0" applyNumberFormat="1" applyFont="1" applyFill="1" applyBorder="1" applyAlignment="1" applyProtection="1">
      <alignment horizontal="center"/>
    </xf>
    <xf numFmtId="0" fontId="80" fillId="0" borderId="44" xfId="0" applyNumberFormat="1" applyFont="1" applyFill="1" applyBorder="1" applyAlignment="1" applyProtection="1"/>
    <xf numFmtId="0" fontId="80" fillId="0" borderId="42" xfId="0" applyNumberFormat="1" applyFont="1" applyFill="1" applyBorder="1" applyAlignment="1" applyProtection="1"/>
    <xf numFmtId="0" fontId="5" fillId="0" borderId="31" xfId="0" applyFont="1" applyBorder="1" applyAlignment="1">
      <alignment horizontal="center"/>
    </xf>
    <xf numFmtId="0" fontId="5" fillId="0" borderId="32" xfId="0" applyFont="1" applyBorder="1"/>
    <xf numFmtId="0" fontId="6" fillId="0" borderId="44" xfId="0" applyNumberFormat="1" applyFont="1" applyFill="1" applyBorder="1" applyAlignment="1" applyProtection="1">
      <alignment horizontal="center"/>
    </xf>
    <xf numFmtId="0" fontId="5" fillId="0" borderId="0" xfId="0" applyFont="1" applyBorder="1" applyAlignment="1">
      <alignment horizontal="left"/>
    </xf>
    <xf numFmtId="0" fontId="5" fillId="0" borderId="44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3" fillId="0" borderId="33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2" borderId="42" xfId="0" applyNumberFormat="1" applyFont="1" applyFill="1" applyBorder="1" applyAlignment="1" applyProtection="1">
      <alignment horizontal="center"/>
    </xf>
    <xf numFmtId="0" fontId="3" fillId="3" borderId="29" xfId="0" applyNumberFormat="1" applyFont="1" applyFill="1" applyBorder="1" applyAlignment="1" applyProtection="1">
      <alignment horizontal="center"/>
    </xf>
    <xf numFmtId="0" fontId="3" fillId="3" borderId="34" xfId="0" applyNumberFormat="1" applyFont="1" applyFill="1" applyBorder="1" applyAlignment="1" applyProtection="1">
      <alignment horizontal="center"/>
    </xf>
    <xf numFmtId="164" fontId="3" fillId="0" borderId="29" xfId="0" applyNumberFormat="1" applyFont="1" applyFill="1" applyBorder="1" applyAlignment="1" applyProtection="1">
      <alignment horizontal="center"/>
    </xf>
    <xf numFmtId="0" fontId="5" fillId="0" borderId="29" xfId="0" applyNumberFormat="1" applyFont="1" applyFill="1" applyBorder="1" applyAlignment="1" applyProtection="1"/>
    <xf numFmtId="0" fontId="5" fillId="0" borderId="29" xfId="0" quotePrefix="1" applyNumberFormat="1" applyFont="1" applyFill="1" applyBorder="1" applyAlignment="1" applyProtection="1">
      <alignment horizontal="right"/>
    </xf>
    <xf numFmtId="0" fontId="16" fillId="0" borderId="0" xfId="0" applyNumberFormat="1" applyFont="1" applyFill="1" applyBorder="1" applyAlignment="1" applyProtection="1">
      <alignment horizontal="right"/>
    </xf>
    <xf numFmtId="0" fontId="5" fillId="0" borderId="62" xfId="0" applyNumberFormat="1" applyFont="1" applyFill="1" applyBorder="1" applyAlignment="1" applyProtection="1">
      <alignment horizontal="center"/>
    </xf>
    <xf numFmtId="1" fontId="50" fillId="0" borderId="63" xfId="0" applyNumberFormat="1" applyFont="1" applyFill="1" applyBorder="1" applyAlignment="1" applyProtection="1">
      <alignment horizontal="center"/>
    </xf>
    <xf numFmtId="164" fontId="54" fillId="0" borderId="64" xfId="0" applyNumberFormat="1" applyFont="1" applyFill="1" applyBorder="1" applyAlignment="1" applyProtection="1">
      <alignment horizontal="center"/>
    </xf>
    <xf numFmtId="0" fontId="1" fillId="0" borderId="29" xfId="0" applyFont="1" applyBorder="1"/>
    <xf numFmtId="0" fontId="1" fillId="0" borderId="34" xfId="0" applyFont="1" applyBorder="1"/>
    <xf numFmtId="0" fontId="46" fillId="0" borderId="46" xfId="0" applyNumberFormat="1" applyFont="1" applyFill="1" applyBorder="1" applyAlignment="1" applyProtection="1"/>
    <xf numFmtId="0" fontId="3" fillId="0" borderId="65" xfId="0" applyNumberFormat="1" applyFont="1" applyFill="1" applyBorder="1" applyAlignment="1" applyProtection="1">
      <alignment horizontal="center"/>
    </xf>
    <xf numFmtId="0" fontId="80" fillId="0" borderId="0" xfId="0" applyFont="1" applyAlignment="1">
      <alignment horizontal="center"/>
    </xf>
    <xf numFmtId="0" fontId="80" fillId="0" borderId="15" xfId="0" applyFont="1" applyBorder="1"/>
    <xf numFmtId="1" fontId="3" fillId="0" borderId="1" xfId="0" applyNumberFormat="1" applyFont="1" applyBorder="1" applyAlignment="1">
      <alignment horizontal="center"/>
    </xf>
    <xf numFmtId="164" fontId="3" fillId="0" borderId="66" xfId="0" applyNumberFormat="1" applyFont="1" applyFill="1" applyBorder="1" applyAlignment="1" applyProtection="1">
      <alignment horizontal="center"/>
    </xf>
    <xf numFmtId="0" fontId="5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81" fillId="6" borderId="24" xfId="0" applyFont="1" applyFill="1" applyBorder="1"/>
    <xf numFmtId="1" fontId="81" fillId="6" borderId="0" xfId="0" applyNumberFormat="1" applyFont="1" applyFill="1" applyAlignment="1">
      <alignment horizontal="center"/>
    </xf>
    <xf numFmtId="3" fontId="8" fillId="0" borderId="67" xfId="0" applyNumberFormat="1" applyFont="1" applyFill="1" applyBorder="1" applyAlignment="1" applyProtection="1">
      <alignment horizontal="center"/>
    </xf>
    <xf numFmtId="164" fontId="3" fillId="0" borderId="27" xfId="0" applyNumberFormat="1" applyFont="1" applyFill="1" applyBorder="1" applyAlignment="1" applyProtection="1">
      <alignment horizontal="center"/>
    </xf>
    <xf numFmtId="164" fontId="3" fillId="0" borderId="68" xfId="0" applyNumberFormat="1" applyFont="1" applyFill="1" applyBorder="1" applyAlignment="1" applyProtection="1">
      <alignment horizontal="center"/>
    </xf>
    <xf numFmtId="1" fontId="3" fillId="0" borderId="69" xfId="0" applyNumberFormat="1" applyFont="1" applyBorder="1" applyAlignment="1">
      <alignment horizontal="center"/>
    </xf>
    <xf numFmtId="0" fontId="82" fillId="0" borderId="0" xfId="0" applyNumberFormat="1" applyFont="1" applyFill="1" applyBorder="1" applyAlignment="1" applyProtection="1">
      <alignment horizontal="center" vertical="center"/>
    </xf>
    <xf numFmtId="168" fontId="6" fillId="0" borderId="0" xfId="0" applyNumberFormat="1" applyFont="1" applyFill="1" applyBorder="1" applyAlignment="1" applyProtection="1">
      <alignment horizontal="center"/>
    </xf>
    <xf numFmtId="168" fontId="74" fillId="0" borderId="0" xfId="0" applyNumberFormat="1" applyFont="1" applyAlignment="1">
      <alignment horizontal="center"/>
    </xf>
    <xf numFmtId="169" fontId="83" fillId="0" borderId="0" xfId="0" applyNumberFormat="1" applyFont="1" applyAlignment="1">
      <alignment horizontal="center"/>
    </xf>
    <xf numFmtId="165" fontId="28" fillId="0" borderId="6" xfId="0" applyNumberFormat="1" applyFont="1" applyFill="1" applyBorder="1" applyAlignment="1" applyProtection="1">
      <alignment horizontal="center"/>
    </xf>
    <xf numFmtId="165" fontId="28" fillId="0" borderId="2" xfId="0" applyNumberFormat="1" applyFont="1" applyFill="1" applyBorder="1" applyAlignment="1" applyProtection="1">
      <alignment horizontal="center"/>
    </xf>
    <xf numFmtId="12" fontId="6" fillId="0" borderId="0" xfId="0" applyNumberFormat="1" applyFont="1" applyFill="1" applyBorder="1" applyAlignment="1" applyProtection="1">
      <alignment horizontal="center"/>
    </xf>
    <xf numFmtId="165" fontId="84" fillId="0" borderId="0" xfId="0" applyNumberFormat="1" applyFont="1" applyFill="1" applyBorder="1" applyAlignment="1" applyProtection="1">
      <alignment horizontal="center"/>
    </xf>
    <xf numFmtId="165" fontId="85" fillId="0" borderId="0" xfId="0" applyNumberFormat="1" applyFont="1" applyFill="1" applyBorder="1" applyAlignment="1" applyProtection="1">
      <alignment horizontal="center"/>
    </xf>
    <xf numFmtId="0" fontId="84" fillId="0" borderId="56" xfId="0" applyFont="1" applyBorder="1" applyAlignment="1">
      <alignment vertical="center"/>
    </xf>
  </cellXfs>
  <cellStyles count="11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/>
    <cellStyle name="Normal" xfId="0" builtinId="0"/>
  </cellStyles>
  <dxfs count="9"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EBFCB"/>
        </patternFill>
      </fill>
    </dxf>
    <dxf>
      <font>
        <color rgb="FF9C0006"/>
      </font>
      <fill>
        <patternFill patternType="solid">
          <fgColor rgb="FF2F1BFF"/>
          <bgColor rgb="FFFFFF0A"/>
        </patternFill>
      </fill>
    </dxf>
    <dxf>
      <font>
        <color rgb="FF2F1BFF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EBFCB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848284"/>
      <rgbColor rgb="0000BF00"/>
      <rgbColor rgb="00969696"/>
      <rgbColor rgb="00C01330"/>
      <rgbColor rgb="0000CEFF"/>
      <rgbColor rgb="00CEFFFF"/>
      <rgbColor rgb="0000BFBF"/>
      <rgbColor rgb="009600FF"/>
      <rgbColor rgb="009500FF"/>
      <rgbColor rgb="00C7C7C7"/>
      <rgbColor rgb="00FF002A"/>
    </indexedColors>
    <mruColors>
      <color rgb="FF00C000"/>
      <color rgb="FFC0133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0802433786685755"/>
          <c:y val="0.0118334372807359"/>
          <c:w val="0.98229931376351"/>
          <c:h val="0.980198699994715"/>
        </c:manualLayout>
      </c:layout>
      <c:scatterChart>
        <c:scatterStyle val="smoothMarker"/>
        <c:varyColors val="0"/>
        <c:ser>
          <c:idx val="0"/>
          <c:order val="0"/>
          <c:tx>
            <c:v>I O</c:v>
          </c:tx>
          <c:spPr>
            <a:ln w="1905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Protractor'!$F$39:$F$40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-0.529919264233205</c:v>
                </c:pt>
              </c:numCache>
            </c:numRef>
          </c:xVal>
          <c:yVal>
            <c:numRef>
              <c:f>'Displacement &amp; Cam Protractor'!$G$39:$G$40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0.848048096156426</c:v>
                </c:pt>
              </c:numCache>
            </c:numRef>
          </c:yVal>
          <c:smooth val="1"/>
        </c:ser>
        <c:ser>
          <c:idx val="1"/>
          <c:order val="1"/>
          <c:tx>
            <c:v>E C</c:v>
          </c:tx>
          <c:spPr>
            <a:ln w="19050">
              <a:solidFill>
                <a:srgbClr val="C0133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Protractor'!$F$41:$F$42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0.573576436351046</c:v>
                </c:pt>
              </c:numCache>
            </c:numRef>
          </c:xVal>
          <c:yVal>
            <c:numRef>
              <c:f>'Displacement &amp; Cam Protractor'!$G$41:$G$42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0.819152044288992</c:v>
                </c:pt>
              </c:numCache>
            </c:numRef>
          </c:yVal>
          <c:smooth val="1"/>
        </c:ser>
        <c:ser>
          <c:idx val="2"/>
          <c:order val="2"/>
          <c:tx>
            <c:v>I C</c:v>
          </c:tx>
          <c:spPr>
            <a:ln w="1905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Protractor'!$F$43:$F$44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-0.956304755963035</c:v>
                </c:pt>
              </c:numCache>
            </c:numRef>
          </c:xVal>
          <c:yVal>
            <c:numRef>
              <c:f>'Displacement &amp; Cam Protractor'!$G$43:$G$44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-0.292371704722737</c:v>
                </c:pt>
              </c:numCache>
            </c:numRef>
          </c:yVal>
          <c:smooth val="1"/>
        </c:ser>
        <c:ser>
          <c:idx val="3"/>
          <c:order val="3"/>
          <c:tx>
            <c:v>E O</c:v>
          </c:tx>
          <c:spPr>
            <a:ln w="19050">
              <a:solidFill>
                <a:srgbClr val="C0133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Protractor'!$F$45:$F$46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0.939692620785908</c:v>
                </c:pt>
              </c:numCache>
            </c:numRef>
          </c:xVal>
          <c:yVal>
            <c:numRef>
              <c:f>'Displacement &amp; Cam Protractor'!$G$45:$G$46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-0.342020143325669</c:v>
                </c:pt>
              </c:numCache>
            </c:numRef>
          </c:yVal>
          <c:smooth val="1"/>
        </c:ser>
        <c:ser>
          <c:idx val="4"/>
          <c:order val="4"/>
          <c:tx>
            <c:v>Y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Protractor'!$H$46:$H$47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xVal>
          <c:yVal>
            <c:numRef>
              <c:f>'Displacement &amp; Cam Protractor'!$I$46:$I$47</c:f>
              <c:numCache>
                <c:formatCode>General</c:formatCode>
                <c:ptCount val="2"/>
                <c:pt idx="0">
                  <c:v>1.0</c:v>
                </c:pt>
                <c:pt idx="1">
                  <c:v>-1.0</c:v>
                </c:pt>
              </c:numCache>
            </c:numRef>
          </c:yVal>
          <c:smooth val="1"/>
        </c:ser>
        <c:ser>
          <c:idx val="5"/>
          <c:order val="5"/>
          <c:tx>
            <c:v>X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Protractor'!$H$48:$H$49</c:f>
              <c:numCache>
                <c:formatCode>General</c:formatCode>
                <c:ptCount val="2"/>
                <c:pt idx="0">
                  <c:v>-1.0</c:v>
                </c:pt>
                <c:pt idx="1">
                  <c:v>1.0</c:v>
                </c:pt>
              </c:numCache>
            </c:numRef>
          </c:xVal>
          <c:yVal>
            <c:numRef>
              <c:f>'Displacement &amp; Cam Protractor'!$I$48:$I$49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yVal>
          <c:smooth val="1"/>
        </c:ser>
        <c:ser>
          <c:idx val="6"/>
          <c:order val="6"/>
          <c:tx>
            <c:v>I O @ .050</c:v>
          </c:tx>
          <c:spPr>
            <a:ln w="19050">
              <a:solidFill>
                <a:srgbClr val="00C00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Protractor'!$F$49:$F$50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-0.258819045102521</c:v>
                </c:pt>
              </c:numCache>
            </c:numRef>
          </c:xVal>
          <c:yVal>
            <c:numRef>
              <c:f>'Displacement &amp; Cam Protractor'!$G$49:$G$50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0.965925826289068</c:v>
                </c:pt>
              </c:numCache>
            </c:numRef>
          </c:yVal>
          <c:smooth val="1"/>
        </c:ser>
        <c:ser>
          <c:idx val="7"/>
          <c:order val="7"/>
          <c:tx>
            <c:v>E C @ .050</c:v>
          </c:tx>
          <c:spPr>
            <a:ln w="19050">
              <a:solidFill>
                <a:srgbClr val="C0133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Protractor'!$F$51:$F$52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0.258819045102521</c:v>
                </c:pt>
              </c:numCache>
            </c:numRef>
          </c:xVal>
          <c:yVal>
            <c:numRef>
              <c:f>'Displacement &amp; Cam Protractor'!$G$51:$G$52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0.965925826289068</c:v>
                </c:pt>
              </c:numCache>
            </c:numRef>
          </c:yVal>
          <c:smooth val="1"/>
        </c:ser>
        <c:ser>
          <c:idx val="8"/>
          <c:order val="8"/>
          <c:tx>
            <c:v>I C @ .050</c:v>
          </c:tx>
          <c:spPr>
            <a:ln w="19050">
              <a:solidFill>
                <a:srgbClr val="00C00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Protractor'!$F$53:$F$54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-0.798635510047293</c:v>
                </c:pt>
              </c:numCache>
            </c:numRef>
          </c:xVal>
          <c:yVal>
            <c:numRef>
              <c:f>'Displacement &amp; Cam Protractor'!$G$53:$G$54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-0.601815023152048</c:v>
                </c:pt>
              </c:numCache>
            </c:numRef>
          </c:yVal>
          <c:smooth val="1"/>
        </c:ser>
        <c:ser>
          <c:idx val="9"/>
          <c:order val="9"/>
          <c:tx>
            <c:v>E O @ .050</c:v>
          </c:tx>
          <c:spPr>
            <a:ln w="19050">
              <a:solidFill>
                <a:srgbClr val="C0133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Protractor'!$F$55:$F$56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0.798635510047293</c:v>
                </c:pt>
              </c:numCache>
            </c:numRef>
          </c:xVal>
          <c:yVal>
            <c:numRef>
              <c:f>'Displacement &amp; Cam Protractor'!$G$55:$G$56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-0.601815023152048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2361928"/>
        <c:axId val="2072358600"/>
      </c:scatterChart>
      <c:valAx>
        <c:axId val="2072361928"/>
        <c:scaling>
          <c:orientation val="minMax"/>
          <c:max val="1.0"/>
          <c:min val="-1.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072358600"/>
        <c:crosses val="autoZero"/>
        <c:crossBetween val="midCat"/>
      </c:valAx>
      <c:valAx>
        <c:axId val="2072358600"/>
        <c:scaling>
          <c:orientation val="minMax"/>
          <c:max val="1.0"/>
          <c:min val="-1.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072361928"/>
        <c:crosses val="autoZero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352480642440847"/>
          <c:y val="0.102150269472789"/>
          <c:w val="0.930809992816014"/>
          <c:h val="0.801073165865555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C0133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noFill/>
                <a:prstDash val="solid"/>
              </a:ln>
            </c:spPr>
          </c:marker>
          <c:xVal>
            <c:numRef>
              <c:f>[1]HornRunner!$B$10:$B$90</c:f>
              <c:numCache>
                <c:formatCode>General</c:formatCode>
                <c:ptCount val="81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</c:numCache>
            </c:numRef>
          </c:xVal>
          <c:yVal>
            <c:numRef>
              <c:f>[1]HornRunner!$E$10:$E$90</c:f>
              <c:numCache>
                <c:formatCode>General</c:formatCode>
                <c:ptCount val="81"/>
                <c:pt idx="0">
                  <c:v>0.669291338582677</c:v>
                </c:pt>
                <c:pt idx="1">
                  <c:v>0.672829234234116</c:v>
                </c:pt>
                <c:pt idx="2">
                  <c:v>0.676385831316336</c:v>
                </c:pt>
                <c:pt idx="3">
                  <c:v>0.679961228685704</c:v>
                </c:pt>
                <c:pt idx="4">
                  <c:v>0.683555525721145</c:v>
                </c:pt>
                <c:pt idx="5">
                  <c:v>0.687168822326906</c:v>
                </c:pt>
                <c:pt idx="6">
                  <c:v>0.69080121893533</c:v>
                </c:pt>
                <c:pt idx="7">
                  <c:v>0.694452816509648</c:v>
                </c:pt>
                <c:pt idx="8">
                  <c:v>0.698123716546785</c:v>
                </c:pt>
                <c:pt idx="9">
                  <c:v>0.701814021080186</c:v>
                </c:pt>
                <c:pt idx="10">
                  <c:v>0.705523832682644</c:v>
                </c:pt>
                <c:pt idx="11">
                  <c:v>0.709253254469157</c:v>
                </c:pt>
                <c:pt idx="12">
                  <c:v>0.713002390099792</c:v>
                </c:pt>
                <c:pt idx="13">
                  <c:v>0.716771343782566</c:v>
                </c:pt>
                <c:pt idx="14">
                  <c:v>0.720560220276343</c:v>
                </c:pt>
                <c:pt idx="15">
                  <c:v>0.724369124893746</c:v>
                </c:pt>
                <c:pt idx="16">
                  <c:v>0.728198163504085</c:v>
                </c:pt>
                <c:pt idx="17">
                  <c:v>0.732047442536297</c:v>
                </c:pt>
                <c:pt idx="18">
                  <c:v>0.735917068981905</c:v>
                </c:pt>
                <c:pt idx="19">
                  <c:v>0.739807150397996</c:v>
                </c:pt>
                <c:pt idx="20">
                  <c:v>0.743717794910204</c:v>
                </c:pt>
                <c:pt idx="21">
                  <c:v>0.74764911121572</c:v>
                </c:pt>
                <c:pt idx="22">
                  <c:v>0.751601208586312</c:v>
                </c:pt>
                <c:pt idx="23">
                  <c:v>0.755574196871361</c:v>
                </c:pt>
                <c:pt idx="24">
                  <c:v>0.759568186500918</c:v>
                </c:pt>
                <c:pt idx="25">
                  <c:v>0.763583288488766</c:v>
                </c:pt>
                <c:pt idx="26">
                  <c:v>0.767619614435516</c:v>
                </c:pt>
                <c:pt idx="27">
                  <c:v>0.771677276531699</c:v>
                </c:pt>
                <c:pt idx="28">
                  <c:v>0.775756387560892</c:v>
                </c:pt>
                <c:pt idx="29">
                  <c:v>0.779857060902848</c:v>
                </c:pt>
                <c:pt idx="30">
                  <c:v>0.783979410536649</c:v>
                </c:pt>
                <c:pt idx="31">
                  <c:v>0.788123551043874</c:v>
                </c:pt>
                <c:pt idx="32">
                  <c:v>0.792289597611785</c:v>
                </c:pt>
                <c:pt idx="33">
                  <c:v>0.796477666036527</c:v>
                </c:pt>
                <c:pt idx="34">
                  <c:v>0.800687872726347</c:v>
                </c:pt>
                <c:pt idx="35">
                  <c:v>0.804920334704829</c:v>
                </c:pt>
                <c:pt idx="36">
                  <c:v>0.809175169614149</c:v>
                </c:pt>
                <c:pt idx="37">
                  <c:v>0.813452495718343</c:v>
                </c:pt>
                <c:pt idx="38">
                  <c:v>0.817752431906593</c:v>
                </c:pt>
                <c:pt idx="39">
                  <c:v>0.822075097696536</c:v>
                </c:pt>
                <c:pt idx="40">
                  <c:v>0.826420613237579</c:v>
                </c:pt>
                <c:pt idx="41">
                  <c:v>0.830789099314248</c:v>
                </c:pt>
                <c:pt idx="42">
                  <c:v>0.835180677349534</c:v>
                </c:pt>
                <c:pt idx="43">
                  <c:v>0.839595469408278</c:v>
                </c:pt>
                <c:pt idx="44">
                  <c:v>0.844033598200558</c:v>
                </c:pt>
                <c:pt idx="45">
                  <c:v>0.848495187085103</c:v>
                </c:pt>
                <c:pt idx="46">
                  <c:v>0.852980360072717</c:v>
                </c:pt>
                <c:pt idx="47">
                  <c:v>0.857489241829733</c:v>
                </c:pt>
                <c:pt idx="48">
                  <c:v>0.862021957681472</c:v>
                </c:pt>
                <c:pt idx="49">
                  <c:v>0.866578633615729</c:v>
                </c:pt>
                <c:pt idx="50">
                  <c:v>0.871159396286275</c:v>
                </c:pt>
                <c:pt idx="51">
                  <c:v>0.875764373016377</c:v>
                </c:pt>
                <c:pt idx="52">
                  <c:v>0.880393691802335</c:v>
                </c:pt>
                <c:pt idx="53">
                  <c:v>0.885047481317045</c:v>
                </c:pt>
                <c:pt idx="54">
                  <c:v>0.889725870913569</c:v>
                </c:pt>
                <c:pt idx="55">
                  <c:v>0.894428990628735</c:v>
                </c:pt>
                <c:pt idx="56">
                  <c:v>0.899156971186749</c:v>
                </c:pt>
                <c:pt idx="57">
                  <c:v>0.903909944002832</c:v>
                </c:pt>
                <c:pt idx="58">
                  <c:v>0.908688041186866</c:v>
                </c:pt>
                <c:pt idx="59">
                  <c:v>0.913491395547073</c:v>
                </c:pt>
                <c:pt idx="60">
                  <c:v>0.918320140593702</c:v>
                </c:pt>
                <c:pt idx="61">
                  <c:v>0.923174410542744</c:v>
                </c:pt>
                <c:pt idx="62">
                  <c:v>0.928054340319656</c:v>
                </c:pt>
                <c:pt idx="63">
                  <c:v>0.932960065563119</c:v>
                </c:pt>
                <c:pt idx="64">
                  <c:v>0.937891722628803</c:v>
                </c:pt>
                <c:pt idx="65">
                  <c:v>0.942849448593158</c:v>
                </c:pt>
                <c:pt idx="66">
                  <c:v>0.947833381257225</c:v>
                </c:pt>
                <c:pt idx="67">
                  <c:v>0.952843659150467</c:v>
                </c:pt>
                <c:pt idx="68">
                  <c:v>0.957880421534616</c:v>
                </c:pt>
                <c:pt idx="69">
                  <c:v>0.962943808407547</c:v>
                </c:pt>
                <c:pt idx="70">
                  <c:v>0.968033960507169</c:v>
                </c:pt>
                <c:pt idx="71">
                  <c:v>0.973151019315335</c:v>
                </c:pt>
                <c:pt idx="72">
                  <c:v>0.978295127061776</c:v>
                </c:pt>
                <c:pt idx="73">
                  <c:v>0.983466426728055</c:v>
                </c:pt>
                <c:pt idx="74">
                  <c:v>0.988665062051539</c:v>
                </c:pt>
                <c:pt idx="75">
                  <c:v>0.993891177529396</c:v>
                </c:pt>
                <c:pt idx="76">
                  <c:v>0.999144918422609</c:v>
                </c:pt>
                <c:pt idx="77">
                  <c:v>1.004426430760017</c:v>
                </c:pt>
                <c:pt idx="78">
                  <c:v>1.009735861342372</c:v>
                </c:pt>
                <c:pt idx="79">
                  <c:v>1.01507335774642</c:v>
                </c:pt>
                <c:pt idx="80">
                  <c:v>1.020439068329001</c:v>
                </c:pt>
              </c:numCache>
            </c:numRef>
          </c:yVal>
          <c:smooth val="1"/>
        </c:ser>
        <c:ser>
          <c:idx val="1"/>
          <c:order val="1"/>
          <c:spPr>
            <a:ln w="25400">
              <a:solidFill>
                <a:srgbClr val="C0133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noFill/>
                <a:prstDash val="solid"/>
              </a:ln>
            </c:spPr>
          </c:marker>
          <c:xVal>
            <c:numRef>
              <c:f>[1]HornRunner!$B$10:$B$90</c:f>
              <c:numCache>
                <c:formatCode>General</c:formatCode>
                <c:ptCount val="81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</c:numCache>
            </c:numRef>
          </c:xVal>
          <c:yVal>
            <c:numRef>
              <c:f>[1]HornRunner!$F$10:$F$90</c:f>
              <c:numCache>
                <c:formatCode>General</c:formatCode>
                <c:ptCount val="81"/>
                <c:pt idx="0">
                  <c:v>-0.669291338582677</c:v>
                </c:pt>
                <c:pt idx="1">
                  <c:v>-0.672829234234116</c:v>
                </c:pt>
                <c:pt idx="2">
                  <c:v>-0.676385831316336</c:v>
                </c:pt>
                <c:pt idx="3">
                  <c:v>-0.679961228685704</c:v>
                </c:pt>
                <c:pt idx="4">
                  <c:v>-0.683555525721145</c:v>
                </c:pt>
                <c:pt idx="5">
                  <c:v>-0.687168822326906</c:v>
                </c:pt>
                <c:pt idx="6">
                  <c:v>-0.69080121893533</c:v>
                </c:pt>
                <c:pt idx="7">
                  <c:v>-0.694452816509648</c:v>
                </c:pt>
                <c:pt idx="8">
                  <c:v>-0.698123716546785</c:v>
                </c:pt>
                <c:pt idx="9">
                  <c:v>-0.701814021080186</c:v>
                </c:pt>
                <c:pt idx="10">
                  <c:v>-0.705523832682644</c:v>
                </c:pt>
                <c:pt idx="11">
                  <c:v>-0.709253254469157</c:v>
                </c:pt>
                <c:pt idx="12">
                  <c:v>-0.713002390099792</c:v>
                </c:pt>
                <c:pt idx="13">
                  <c:v>-0.716771343782566</c:v>
                </c:pt>
                <c:pt idx="14">
                  <c:v>-0.720560220276343</c:v>
                </c:pt>
                <c:pt idx="15">
                  <c:v>-0.724369124893746</c:v>
                </c:pt>
                <c:pt idx="16">
                  <c:v>-0.728198163504085</c:v>
                </c:pt>
                <c:pt idx="17">
                  <c:v>-0.732047442536297</c:v>
                </c:pt>
                <c:pt idx="18">
                  <c:v>-0.735917068981905</c:v>
                </c:pt>
                <c:pt idx="19">
                  <c:v>-0.739807150397996</c:v>
                </c:pt>
                <c:pt idx="20">
                  <c:v>-0.743717794910204</c:v>
                </c:pt>
                <c:pt idx="21">
                  <c:v>-0.74764911121572</c:v>
                </c:pt>
                <c:pt idx="22">
                  <c:v>-0.751601208586312</c:v>
                </c:pt>
                <c:pt idx="23">
                  <c:v>-0.755574196871361</c:v>
                </c:pt>
                <c:pt idx="24">
                  <c:v>-0.759568186500918</c:v>
                </c:pt>
                <c:pt idx="25">
                  <c:v>-0.763583288488766</c:v>
                </c:pt>
                <c:pt idx="26">
                  <c:v>-0.767619614435516</c:v>
                </c:pt>
                <c:pt idx="27">
                  <c:v>-0.771677276531699</c:v>
                </c:pt>
                <c:pt idx="28">
                  <c:v>-0.775756387560892</c:v>
                </c:pt>
                <c:pt idx="29">
                  <c:v>-0.779857060902848</c:v>
                </c:pt>
                <c:pt idx="30">
                  <c:v>-0.783979410536649</c:v>
                </c:pt>
                <c:pt idx="31">
                  <c:v>-0.788123551043874</c:v>
                </c:pt>
                <c:pt idx="32">
                  <c:v>-0.792289597611785</c:v>
                </c:pt>
                <c:pt idx="33">
                  <c:v>-0.796477666036527</c:v>
                </c:pt>
                <c:pt idx="34">
                  <c:v>-0.800687872726347</c:v>
                </c:pt>
                <c:pt idx="35">
                  <c:v>-0.804920334704829</c:v>
                </c:pt>
                <c:pt idx="36">
                  <c:v>-0.809175169614149</c:v>
                </c:pt>
                <c:pt idx="37">
                  <c:v>-0.813452495718343</c:v>
                </c:pt>
                <c:pt idx="38">
                  <c:v>-0.817752431906593</c:v>
                </c:pt>
                <c:pt idx="39">
                  <c:v>-0.822075097696536</c:v>
                </c:pt>
                <c:pt idx="40">
                  <c:v>-0.826420613237579</c:v>
                </c:pt>
                <c:pt idx="41">
                  <c:v>-0.830789099314248</c:v>
                </c:pt>
                <c:pt idx="42">
                  <c:v>-0.835180677349534</c:v>
                </c:pt>
                <c:pt idx="43">
                  <c:v>-0.839595469408278</c:v>
                </c:pt>
                <c:pt idx="44">
                  <c:v>-0.844033598200558</c:v>
                </c:pt>
                <c:pt idx="45">
                  <c:v>-0.848495187085103</c:v>
                </c:pt>
                <c:pt idx="46">
                  <c:v>-0.852980360072717</c:v>
                </c:pt>
                <c:pt idx="47">
                  <c:v>-0.857489241829733</c:v>
                </c:pt>
                <c:pt idx="48">
                  <c:v>-0.862021957681472</c:v>
                </c:pt>
                <c:pt idx="49">
                  <c:v>-0.866578633615729</c:v>
                </c:pt>
                <c:pt idx="50">
                  <c:v>-0.871159396286275</c:v>
                </c:pt>
                <c:pt idx="51">
                  <c:v>-0.875764373016377</c:v>
                </c:pt>
                <c:pt idx="52">
                  <c:v>-0.880393691802335</c:v>
                </c:pt>
                <c:pt idx="53">
                  <c:v>-0.885047481317045</c:v>
                </c:pt>
                <c:pt idx="54">
                  <c:v>-0.889725870913569</c:v>
                </c:pt>
                <c:pt idx="55">
                  <c:v>-0.894428990628735</c:v>
                </c:pt>
                <c:pt idx="56">
                  <c:v>-0.899156971186749</c:v>
                </c:pt>
                <c:pt idx="57">
                  <c:v>-0.903909944002832</c:v>
                </c:pt>
                <c:pt idx="58">
                  <c:v>-0.908688041186866</c:v>
                </c:pt>
                <c:pt idx="59">
                  <c:v>-0.913491395547073</c:v>
                </c:pt>
                <c:pt idx="60">
                  <c:v>-0.918320140593702</c:v>
                </c:pt>
                <c:pt idx="61">
                  <c:v>-0.923174410542744</c:v>
                </c:pt>
                <c:pt idx="62">
                  <c:v>-0.928054340319656</c:v>
                </c:pt>
                <c:pt idx="63">
                  <c:v>-0.932960065563119</c:v>
                </c:pt>
                <c:pt idx="64">
                  <c:v>-0.937891722628803</c:v>
                </c:pt>
                <c:pt idx="65">
                  <c:v>-0.942849448593158</c:v>
                </c:pt>
                <c:pt idx="66">
                  <c:v>-0.947833381257225</c:v>
                </c:pt>
                <c:pt idx="67">
                  <c:v>-0.952843659150467</c:v>
                </c:pt>
                <c:pt idx="68">
                  <c:v>-0.957880421534616</c:v>
                </c:pt>
                <c:pt idx="69">
                  <c:v>-0.962943808407547</c:v>
                </c:pt>
                <c:pt idx="70">
                  <c:v>-0.968033960507169</c:v>
                </c:pt>
                <c:pt idx="71">
                  <c:v>-0.973151019315335</c:v>
                </c:pt>
                <c:pt idx="72">
                  <c:v>-0.978295127061776</c:v>
                </c:pt>
                <c:pt idx="73">
                  <c:v>-0.983466426728055</c:v>
                </c:pt>
                <c:pt idx="74">
                  <c:v>-0.988665062051539</c:v>
                </c:pt>
                <c:pt idx="75">
                  <c:v>-0.993891177529396</c:v>
                </c:pt>
                <c:pt idx="76">
                  <c:v>-0.999144918422609</c:v>
                </c:pt>
                <c:pt idx="77">
                  <c:v>-1.004426430760017</c:v>
                </c:pt>
                <c:pt idx="78">
                  <c:v>-1.009735861342372</c:v>
                </c:pt>
                <c:pt idx="79">
                  <c:v>-1.01507335774642</c:v>
                </c:pt>
                <c:pt idx="80">
                  <c:v>-1.020439068329001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3731736"/>
        <c:axId val="2073737960"/>
      </c:scatterChart>
      <c:valAx>
        <c:axId val="2073731736"/>
        <c:scaling>
          <c:orientation val="minMax"/>
          <c:max val="7.5"/>
          <c:min val="0.0"/>
        </c:scaling>
        <c:delete val="0"/>
        <c:axPos val="b"/>
        <c:majorGridlines>
          <c:spPr>
            <a:ln w="1270">
              <a:solidFill>
                <a:schemeClr val="bg1">
                  <a:lumMod val="50000"/>
                </a:schemeClr>
              </a:solidFill>
              <a:prstDash val="lgDash"/>
            </a:ln>
          </c:spPr>
        </c:majorGridlines>
        <c:minorGridlines>
          <c:spPr>
            <a:ln w="1270">
              <a:solidFill>
                <a:schemeClr val="bg1">
                  <a:lumMod val="50000"/>
                </a:schemeClr>
              </a:solidFill>
              <a:prstDash val="lgDash"/>
            </a:ln>
          </c:spPr>
        </c:minorGridlines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Sans"/>
                <a:cs typeface="Sans"/>
              </a:defRPr>
            </a:pPr>
            <a:endParaRPr lang="en-US"/>
          </a:p>
        </c:txPr>
        <c:crossAx val="2073737960"/>
        <c:crosses val="autoZero"/>
        <c:crossBetween val="midCat"/>
        <c:majorUnit val="1.0"/>
        <c:minorUnit val="0.5"/>
      </c:valAx>
      <c:valAx>
        <c:axId val="2073737960"/>
        <c:scaling>
          <c:orientation val="minMax"/>
          <c:max val="1.2"/>
          <c:min val="-1.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1270">
              <a:solidFill>
                <a:srgbClr val="000000"/>
              </a:solidFill>
              <a:prstDash val="dash"/>
            </a:ln>
          </c:spPr>
        </c:minorGridlines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2073731736"/>
        <c:crosses val="autoZero"/>
        <c:crossBetween val="midCat"/>
        <c:majorUnit val="1.0"/>
        <c:minorUnit val="0.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94264790594368"/>
          <c:y val="0.0737178333492442"/>
          <c:w val="0.856597358050533"/>
          <c:h val="0.794870550896198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'[2]Displacement &amp; Cam Graph'!$K$19:$K$23</c:f>
              <c:numCache>
                <c:formatCode>General</c:formatCode>
                <c:ptCount val="5"/>
                <c:pt idx="0">
                  <c:v>5.0</c:v>
                </c:pt>
                <c:pt idx="1">
                  <c:v>4.0</c:v>
                </c:pt>
                <c:pt idx="2">
                  <c:v>3.0</c:v>
                </c:pt>
                <c:pt idx="3">
                  <c:v>2.0</c:v>
                </c:pt>
                <c:pt idx="4">
                  <c:v>1.0</c:v>
                </c:pt>
              </c:numCache>
            </c:numRef>
          </c:xVal>
          <c:yVal>
            <c:numRef>
              <c:f>'[2]Displacement &amp; Cam Graph'!$L$19:$L$23</c:f>
              <c:numCache>
                <c:formatCode>General</c:formatCode>
                <c:ptCount val="5"/>
                <c:pt idx="0">
                  <c:v>0.85</c:v>
                </c:pt>
                <c:pt idx="1">
                  <c:v>1.0</c:v>
                </c:pt>
                <c:pt idx="2">
                  <c:v>1.3</c:v>
                </c:pt>
                <c:pt idx="3">
                  <c:v>2.0</c:v>
                </c:pt>
                <c:pt idx="4">
                  <c:v>3.5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2243752"/>
        <c:axId val="2072240152"/>
      </c:scatterChart>
      <c:valAx>
        <c:axId val="2072243752"/>
        <c:scaling>
          <c:orientation val="minMax"/>
          <c:max val="5.0"/>
          <c:min val="1.0"/>
        </c:scaling>
        <c:delete val="0"/>
        <c:axPos val="b"/>
        <c:majorGridlines>
          <c:spPr>
            <a:ln w="1270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2072240152"/>
        <c:crossesAt val="0.5"/>
        <c:crossBetween val="midCat"/>
        <c:majorUnit val="1.0"/>
        <c:minorUnit val="0.5"/>
      </c:valAx>
      <c:valAx>
        <c:axId val="2072240152"/>
        <c:scaling>
          <c:orientation val="minMax"/>
          <c:max val="3.6"/>
          <c:min val="0.5"/>
        </c:scaling>
        <c:delete val="0"/>
        <c:axPos val="l"/>
        <c:majorGridlines>
          <c:spPr>
            <a:ln w="127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75000"/>
                </a:schemeClr>
              </a:solidFill>
              <a:prstDash val="lgDash"/>
            </a:ln>
          </c:spPr>
        </c:min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2072243752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4" Type="http://schemas.openxmlformats.org/officeDocument/2006/relationships/image" Target="../media/image8.png"/><Relationship Id="rId1" Type="http://schemas.openxmlformats.org/officeDocument/2006/relationships/image" Target="../media/image5.png"/><Relationship Id="rId2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508000</xdr:colOff>
      <xdr:row>38</xdr:row>
      <xdr:rowOff>71120</xdr:rowOff>
    </xdr:from>
    <xdr:to>
      <xdr:col>11</xdr:col>
      <xdr:colOff>152400</xdr:colOff>
      <xdr:row>63</xdr:row>
      <xdr:rowOff>121920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132080</xdr:colOff>
      <xdr:row>65</xdr:row>
      <xdr:rowOff>64389</xdr:rowOff>
    </xdr:from>
    <xdr:to>
      <xdr:col>11</xdr:col>
      <xdr:colOff>447040</xdr:colOff>
      <xdr:row>83</xdr:row>
      <xdr:rowOff>160226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8800" y="14389989"/>
          <a:ext cx="6736080" cy="3976957"/>
        </a:xfrm>
        <a:prstGeom prst="rect">
          <a:avLst/>
        </a:prstGeom>
      </xdr:spPr>
    </xdr:pic>
    <xdr:clientData/>
  </xdr:twoCellAnchor>
  <xdr:twoCellAnchor editAs="oneCell">
    <xdr:from>
      <xdr:col>11</xdr:col>
      <xdr:colOff>670560</xdr:colOff>
      <xdr:row>38</xdr:row>
      <xdr:rowOff>60960</xdr:rowOff>
    </xdr:from>
    <xdr:to>
      <xdr:col>17</xdr:col>
      <xdr:colOff>843280</xdr:colOff>
      <xdr:row>62</xdr:row>
      <xdr:rowOff>10160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400" y="8768080"/>
          <a:ext cx="4958080" cy="4958080"/>
        </a:xfrm>
        <a:prstGeom prst="rect">
          <a:avLst/>
        </a:prstGeom>
      </xdr:spPr>
    </xdr:pic>
    <xdr:clientData/>
  </xdr:twoCellAnchor>
  <xdr:twoCellAnchor editAs="oneCell">
    <xdr:from>
      <xdr:col>19</xdr:col>
      <xdr:colOff>213360</xdr:colOff>
      <xdr:row>1</xdr:row>
      <xdr:rowOff>37433</xdr:rowOff>
    </xdr:from>
    <xdr:to>
      <xdr:col>25</xdr:col>
      <xdr:colOff>108184</xdr:colOff>
      <xdr:row>21</xdr:row>
      <xdr:rowOff>20320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9120" y="291433"/>
          <a:ext cx="4598904" cy="4585367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40640</xdr:colOff>
      <xdr:row>65</xdr:row>
      <xdr:rowOff>81280</xdr:rowOff>
    </xdr:from>
    <xdr:to>
      <xdr:col>20</xdr:col>
      <xdr:colOff>795867</xdr:colOff>
      <xdr:row>89</xdr:row>
      <xdr:rowOff>132080</xdr:rowOff>
    </xdr:to>
    <xdr:pic>
      <xdr:nvPicPr>
        <xdr:cNvPr id="6" name="Picture 5" descr="VidardErrorGraph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7760" y="14447520"/>
          <a:ext cx="7003627" cy="5252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71120</xdr:colOff>
      <xdr:row>31</xdr:row>
      <xdr:rowOff>200022</xdr:rowOff>
    </xdr:from>
    <xdr:to>
      <xdr:col>27</xdr:col>
      <xdr:colOff>314960</xdr:colOff>
      <xdr:row>62</xdr:row>
      <xdr:rowOff>20319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8240" y="6936102"/>
          <a:ext cx="8839200" cy="6464937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</xdr:colOff>
      <xdr:row>62</xdr:row>
      <xdr:rowOff>91440</xdr:rowOff>
    </xdr:from>
    <xdr:to>
      <xdr:col>17</xdr:col>
      <xdr:colOff>833120</xdr:colOff>
      <xdr:row>98</xdr:row>
      <xdr:rowOff>10160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8480" y="12943840"/>
          <a:ext cx="8229600" cy="762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18</xdr:col>
      <xdr:colOff>71120</xdr:colOff>
      <xdr:row>62</xdr:row>
      <xdr:rowOff>101600</xdr:rowOff>
    </xdr:from>
    <xdr:to>
      <xdr:col>27</xdr:col>
      <xdr:colOff>314960</xdr:colOff>
      <xdr:row>98</xdr:row>
      <xdr:rowOff>20320</xdr:rowOff>
    </xdr:to>
    <xdr:pic>
      <xdr:nvPicPr>
        <xdr:cNvPr id="6" name="Picture 5" descr="FuelaRatio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8240" y="13482320"/>
          <a:ext cx="8839200" cy="7620000"/>
        </a:xfrm>
        <a:prstGeom prst="rect">
          <a:avLst/>
        </a:prstGeom>
        <a:ln w="12700" cmpd="sng">
          <a:solidFill>
            <a:schemeClr val="tx1"/>
          </a:solidFill>
          <a:prstDash val="solid"/>
        </a:ln>
      </xdr:spPr>
    </xdr:pic>
    <xdr:clientData/>
  </xdr:twoCellAnchor>
  <xdr:twoCellAnchor editAs="oneCell">
    <xdr:from>
      <xdr:col>13</xdr:col>
      <xdr:colOff>30480</xdr:colOff>
      <xdr:row>1</xdr:row>
      <xdr:rowOff>30480</xdr:rowOff>
    </xdr:from>
    <xdr:to>
      <xdr:col>21</xdr:col>
      <xdr:colOff>944880</xdr:colOff>
      <xdr:row>31</xdr:row>
      <xdr:rowOff>40639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7680" y="243840"/>
          <a:ext cx="8341360" cy="65023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127000</xdr:colOff>
      <xdr:row>6</xdr:row>
      <xdr:rowOff>20320</xdr:rowOff>
    </xdr:from>
    <xdr:to>
      <xdr:col>19</xdr:col>
      <xdr:colOff>172720</xdr:colOff>
      <xdr:row>21</xdr:row>
      <xdr:rowOff>101600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71120</xdr:colOff>
      <xdr:row>22</xdr:row>
      <xdr:rowOff>81280</xdr:rowOff>
    </xdr:from>
    <xdr:to>
      <xdr:col>17</xdr:col>
      <xdr:colOff>172720</xdr:colOff>
      <xdr:row>53</xdr:row>
      <xdr:rowOff>111760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xSx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x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VW Boxer"/>
      <sheetName val="Displacement &amp; Cam Graph"/>
      <sheetName val="HornRunner"/>
      <sheetName val="Cams"/>
    </sheetNames>
    <sheetDataSet>
      <sheetData sheetId="0" refreshError="1"/>
      <sheetData sheetId="1" refreshError="1"/>
      <sheetData sheetId="2" refreshError="1"/>
      <sheetData sheetId="3">
        <row r="10">
          <cell r="B10">
            <v>0</v>
          </cell>
          <cell r="E10">
            <v>0.6692913385826772</v>
          </cell>
          <cell r="F10">
            <v>-0.6692913385826772</v>
          </cell>
        </row>
        <row r="11">
          <cell r="B11">
            <v>0.125</v>
          </cell>
          <cell r="E11">
            <v>0.67282923423411645</v>
          </cell>
          <cell r="F11">
            <v>-0.67282923423411645</v>
          </cell>
        </row>
        <row r="12">
          <cell r="B12">
            <v>0.25</v>
          </cell>
          <cell r="E12">
            <v>0.67638583131633612</v>
          </cell>
          <cell r="F12">
            <v>-0.67638583131633612</v>
          </cell>
        </row>
        <row r="13">
          <cell r="B13">
            <v>0.375</v>
          </cell>
          <cell r="E13">
            <v>0.67996122868570386</v>
          </cell>
          <cell r="F13">
            <v>-0.67996122868570386</v>
          </cell>
        </row>
        <row r="14">
          <cell r="B14">
            <v>0.5</v>
          </cell>
          <cell r="E14">
            <v>0.68355552572114542</v>
          </cell>
          <cell r="F14">
            <v>-0.68355552572114542</v>
          </cell>
        </row>
        <row r="15">
          <cell r="B15">
            <v>0.625</v>
          </cell>
          <cell r="E15">
            <v>0.68716882232690657</v>
          </cell>
          <cell r="F15">
            <v>-0.68716882232690657</v>
          </cell>
        </row>
        <row r="16">
          <cell r="B16">
            <v>0.75</v>
          </cell>
          <cell r="E16">
            <v>0.69080121893533009</v>
          </cell>
          <cell r="F16">
            <v>-0.69080121893533009</v>
          </cell>
        </row>
        <row r="17">
          <cell r="B17">
            <v>0.875</v>
          </cell>
          <cell r="E17">
            <v>0.69445281650964763</v>
          </cell>
          <cell r="F17">
            <v>-0.69445281650964763</v>
          </cell>
        </row>
        <row r="18">
          <cell r="B18">
            <v>1</v>
          </cell>
          <cell r="E18">
            <v>0.6981237165467854</v>
          </cell>
          <cell r="F18">
            <v>-0.6981237165467854</v>
          </cell>
        </row>
        <row r="19">
          <cell r="B19">
            <v>1.125</v>
          </cell>
          <cell r="E19">
            <v>0.70181402108018609</v>
          </cell>
          <cell r="F19">
            <v>-0.70181402108018609</v>
          </cell>
        </row>
        <row r="20">
          <cell r="B20">
            <v>1.25</v>
          </cell>
          <cell r="E20">
            <v>0.70552383268264407</v>
          </cell>
          <cell r="F20">
            <v>-0.70552383268264407</v>
          </cell>
        </row>
        <row r="21">
          <cell r="B21">
            <v>1.375</v>
          </cell>
          <cell r="E21">
            <v>0.7092532544691571</v>
          </cell>
          <cell r="F21">
            <v>-0.7092532544691571</v>
          </cell>
        </row>
        <row r="22">
          <cell r="B22">
            <v>1.5</v>
          </cell>
          <cell r="E22">
            <v>0.71300239009979183</v>
          </cell>
          <cell r="F22">
            <v>-0.71300239009979183</v>
          </cell>
        </row>
        <row r="23">
          <cell r="B23">
            <v>1.625</v>
          </cell>
          <cell r="E23">
            <v>0.71677134378256568</v>
          </cell>
          <cell r="F23">
            <v>-0.71677134378256568</v>
          </cell>
        </row>
        <row r="24">
          <cell r="B24">
            <v>1.75</v>
          </cell>
          <cell r="E24">
            <v>0.72056022027634281</v>
          </cell>
          <cell r="F24">
            <v>-0.72056022027634281</v>
          </cell>
        </row>
        <row r="25">
          <cell r="B25">
            <v>1.875</v>
          </cell>
          <cell r="E25">
            <v>0.72436912489374639</v>
          </cell>
          <cell r="F25">
            <v>-0.72436912489374639</v>
          </cell>
        </row>
        <row r="26">
          <cell r="B26">
            <v>2</v>
          </cell>
          <cell r="E26">
            <v>0.72819816350408517</v>
          </cell>
          <cell r="F26">
            <v>-0.72819816350408517</v>
          </cell>
        </row>
        <row r="27">
          <cell r="B27">
            <v>2.125</v>
          </cell>
          <cell r="E27">
            <v>0.73204744253629672</v>
          </cell>
          <cell r="F27">
            <v>-0.73204744253629672</v>
          </cell>
        </row>
        <row r="28">
          <cell r="B28">
            <v>2.25</v>
          </cell>
          <cell r="E28">
            <v>0.73591706898190545</v>
          </cell>
          <cell r="F28">
            <v>-0.73591706898190545</v>
          </cell>
        </row>
        <row r="29">
          <cell r="B29">
            <v>2.375</v>
          </cell>
          <cell r="E29">
            <v>0.73980715039799627</v>
          </cell>
          <cell r="F29">
            <v>-0.73980715039799627</v>
          </cell>
        </row>
        <row r="30">
          <cell r="B30">
            <v>2.5</v>
          </cell>
          <cell r="E30">
            <v>0.74371779491020418</v>
          </cell>
          <cell r="F30">
            <v>-0.74371779491020418</v>
          </cell>
        </row>
        <row r="31">
          <cell r="B31">
            <v>2.625</v>
          </cell>
          <cell r="E31">
            <v>0.74764911121572031</v>
          </cell>
          <cell r="F31">
            <v>-0.74764911121572031</v>
          </cell>
        </row>
        <row r="32">
          <cell r="B32">
            <v>2.75</v>
          </cell>
          <cell r="E32">
            <v>0.75160120858631219</v>
          </cell>
          <cell r="F32">
            <v>-0.75160120858631219</v>
          </cell>
        </row>
        <row r="33">
          <cell r="B33">
            <v>2.875</v>
          </cell>
          <cell r="E33">
            <v>0.75557419687136151</v>
          </cell>
          <cell r="F33">
            <v>-0.75557419687136151</v>
          </cell>
        </row>
        <row r="34">
          <cell r="B34">
            <v>3</v>
          </cell>
          <cell r="E34">
            <v>0.75956818650091762</v>
          </cell>
          <cell r="F34">
            <v>-0.75956818650091762</v>
          </cell>
        </row>
        <row r="35">
          <cell r="B35">
            <v>3.125</v>
          </cell>
          <cell r="E35">
            <v>0.76358328848876622</v>
          </cell>
          <cell r="F35">
            <v>-0.76358328848876622</v>
          </cell>
        </row>
        <row r="36">
          <cell r="B36">
            <v>3.25</v>
          </cell>
          <cell r="E36">
            <v>0.76761961443551596</v>
          </cell>
          <cell r="F36">
            <v>-0.76761961443551596</v>
          </cell>
        </row>
        <row r="37">
          <cell r="B37">
            <v>3.375</v>
          </cell>
          <cell r="E37">
            <v>0.77167727653169937</v>
          </cell>
          <cell r="F37">
            <v>-0.77167727653169937</v>
          </cell>
        </row>
        <row r="38">
          <cell r="B38">
            <v>3.5</v>
          </cell>
          <cell r="E38">
            <v>0.77575638756089238</v>
          </cell>
          <cell r="F38">
            <v>-0.77575638756089238</v>
          </cell>
        </row>
        <row r="39">
          <cell r="B39">
            <v>3.625</v>
          </cell>
          <cell r="E39">
            <v>0.77985706090284812</v>
          </cell>
          <cell r="F39">
            <v>-0.77985706090284812</v>
          </cell>
        </row>
        <row r="40">
          <cell r="B40">
            <v>3.75</v>
          </cell>
          <cell r="E40">
            <v>0.78397941053664899</v>
          </cell>
          <cell r="F40">
            <v>-0.78397941053664899</v>
          </cell>
        </row>
        <row r="41">
          <cell r="B41">
            <v>3.875</v>
          </cell>
          <cell r="E41">
            <v>0.78812355104387433</v>
          </cell>
          <cell r="F41">
            <v>-0.78812355104387433</v>
          </cell>
        </row>
        <row r="42">
          <cell r="B42">
            <v>4</v>
          </cell>
          <cell r="E42">
            <v>0.7922895976117853</v>
          </cell>
          <cell r="F42">
            <v>-0.7922895976117853</v>
          </cell>
        </row>
        <row r="43">
          <cell r="B43">
            <v>4.125</v>
          </cell>
          <cell r="E43">
            <v>0.79647766603652703</v>
          </cell>
          <cell r="F43">
            <v>-0.79647766603652703</v>
          </cell>
        </row>
        <row r="44">
          <cell r="B44">
            <v>4.25</v>
          </cell>
          <cell r="E44">
            <v>0.80068787272634667</v>
          </cell>
          <cell r="F44">
            <v>-0.80068787272634667</v>
          </cell>
        </row>
        <row r="45">
          <cell r="B45">
            <v>4.375</v>
          </cell>
          <cell r="E45">
            <v>0.80492033470482882</v>
          </cell>
          <cell r="F45">
            <v>-0.80492033470482882</v>
          </cell>
        </row>
        <row r="46">
          <cell r="B46">
            <v>4.5</v>
          </cell>
          <cell r="E46">
            <v>0.80917516961414904</v>
          </cell>
          <cell r="F46">
            <v>-0.80917516961414904</v>
          </cell>
        </row>
        <row r="47">
          <cell r="B47">
            <v>4.625</v>
          </cell>
          <cell r="E47">
            <v>0.81345249571834277</v>
          </cell>
          <cell r="F47">
            <v>-0.81345249571834277</v>
          </cell>
        </row>
        <row r="48">
          <cell r="B48">
            <v>4.75</v>
          </cell>
          <cell r="E48">
            <v>0.8177524319065933</v>
          </cell>
          <cell r="F48">
            <v>-0.8177524319065933</v>
          </cell>
        </row>
        <row r="49">
          <cell r="B49">
            <v>4.875</v>
          </cell>
          <cell r="E49">
            <v>0.82207509769653575</v>
          </cell>
          <cell r="F49">
            <v>-0.82207509769653575</v>
          </cell>
        </row>
        <row r="50">
          <cell r="B50">
            <v>5</v>
          </cell>
          <cell r="E50">
            <v>0.82642061323757954</v>
          </cell>
          <cell r="F50">
            <v>-0.82642061323757954</v>
          </cell>
        </row>
        <row r="51">
          <cell r="B51">
            <v>5.125</v>
          </cell>
          <cell r="E51">
            <v>0.83078909931424771</v>
          </cell>
          <cell r="F51">
            <v>-0.83078909931424771</v>
          </cell>
        </row>
        <row r="52">
          <cell r="B52">
            <v>5.25</v>
          </cell>
          <cell r="E52">
            <v>0.83518067734953383</v>
          </cell>
          <cell r="F52">
            <v>-0.83518067734953383</v>
          </cell>
        </row>
        <row r="53">
          <cell r="B53">
            <v>5.375</v>
          </cell>
          <cell r="E53">
            <v>0.83959546940827778</v>
          </cell>
          <cell r="F53">
            <v>-0.83959546940827778</v>
          </cell>
        </row>
        <row r="54">
          <cell r="B54">
            <v>5.5</v>
          </cell>
          <cell r="E54">
            <v>0.84403359820055812</v>
          </cell>
          <cell r="F54">
            <v>-0.84403359820055812</v>
          </cell>
        </row>
        <row r="55">
          <cell r="B55">
            <v>5.625</v>
          </cell>
          <cell r="E55">
            <v>0.84849518708510263</v>
          </cell>
          <cell r="F55">
            <v>-0.84849518708510263</v>
          </cell>
        </row>
        <row r="56">
          <cell r="B56">
            <v>5.75</v>
          </cell>
          <cell r="E56">
            <v>0.85298036007271727</v>
          </cell>
          <cell r="F56">
            <v>-0.85298036007271727</v>
          </cell>
        </row>
        <row r="57">
          <cell r="B57">
            <v>5.875</v>
          </cell>
          <cell r="E57">
            <v>0.8574892418297333</v>
          </cell>
          <cell r="F57">
            <v>-0.8574892418297333</v>
          </cell>
        </row>
        <row r="58">
          <cell r="B58">
            <v>6</v>
          </cell>
          <cell r="E58">
            <v>0.86202195768147227</v>
          </cell>
          <cell r="F58">
            <v>-0.86202195768147227</v>
          </cell>
        </row>
        <row r="59">
          <cell r="B59">
            <v>6.125</v>
          </cell>
          <cell r="E59">
            <v>0.8665786336157294</v>
          </cell>
          <cell r="F59">
            <v>-0.8665786336157294</v>
          </cell>
        </row>
        <row r="60">
          <cell r="B60">
            <v>6.25</v>
          </cell>
          <cell r="E60">
            <v>0.87115939628627526</v>
          </cell>
          <cell r="F60">
            <v>-0.87115939628627526</v>
          </cell>
        </row>
        <row r="61">
          <cell r="B61">
            <v>6.375</v>
          </cell>
          <cell r="E61">
            <v>0.87576437301637666</v>
          </cell>
          <cell r="F61">
            <v>-0.87576437301637666</v>
          </cell>
        </row>
        <row r="62">
          <cell r="B62">
            <v>6.5</v>
          </cell>
          <cell r="E62">
            <v>0.88039369180233507</v>
          </cell>
          <cell r="F62">
            <v>-0.88039369180233507</v>
          </cell>
        </row>
        <row r="63">
          <cell r="B63">
            <v>6.625</v>
          </cell>
          <cell r="E63">
            <v>0.88504748131704469</v>
          </cell>
          <cell r="F63">
            <v>-0.88504748131704469</v>
          </cell>
        </row>
        <row r="64">
          <cell r="B64">
            <v>6.75</v>
          </cell>
          <cell r="E64">
            <v>0.88972587091356858</v>
          </cell>
          <cell r="F64">
            <v>-0.88972587091356858</v>
          </cell>
        </row>
        <row r="65">
          <cell r="B65">
            <v>6.875</v>
          </cell>
          <cell r="E65">
            <v>0.89442899062873482</v>
          </cell>
          <cell r="F65">
            <v>-0.89442899062873482</v>
          </cell>
        </row>
        <row r="66">
          <cell r="B66">
            <v>7</v>
          </cell>
          <cell r="E66">
            <v>0.89915697118674953</v>
          </cell>
          <cell r="F66">
            <v>-0.89915697118674953</v>
          </cell>
        </row>
        <row r="67">
          <cell r="B67">
            <v>7.125</v>
          </cell>
          <cell r="E67">
            <v>0.90390994400283198</v>
          </cell>
          <cell r="F67">
            <v>-0.90390994400283198</v>
          </cell>
        </row>
        <row r="68">
          <cell r="B68">
            <v>7.25</v>
          </cell>
          <cell r="E68">
            <v>0.90868804118686608</v>
          </cell>
          <cell r="F68">
            <v>-0.90868804118686608</v>
          </cell>
        </row>
        <row r="69">
          <cell r="B69">
            <v>7.375</v>
          </cell>
          <cell r="E69">
            <v>0.91349139554707304</v>
          </cell>
          <cell r="F69">
            <v>-0.91349139554707304</v>
          </cell>
        </row>
        <row r="70">
          <cell r="B70">
            <v>7.5</v>
          </cell>
          <cell r="E70">
            <v>0.91832014059370248</v>
          </cell>
          <cell r="F70">
            <v>-0.91832014059370248</v>
          </cell>
        </row>
        <row r="71">
          <cell r="B71">
            <v>7.625</v>
          </cell>
          <cell r="E71">
            <v>0.92317441054274374</v>
          </cell>
          <cell r="F71">
            <v>-0.92317441054274374</v>
          </cell>
        </row>
        <row r="72">
          <cell r="B72">
            <v>7.75</v>
          </cell>
          <cell r="E72">
            <v>0.92805434031965606</v>
          </cell>
          <cell r="F72">
            <v>-0.92805434031965606</v>
          </cell>
        </row>
        <row r="73">
          <cell r="B73">
            <v>7.875</v>
          </cell>
          <cell r="E73">
            <v>0.93296006556311906</v>
          </cell>
          <cell r="F73">
            <v>-0.93296006556311906</v>
          </cell>
        </row>
        <row r="74">
          <cell r="B74">
            <v>8</v>
          </cell>
          <cell r="E74">
            <v>0.93789172262880283</v>
          </cell>
          <cell r="F74">
            <v>-0.93789172262880283</v>
          </cell>
        </row>
        <row r="75">
          <cell r="B75">
            <v>8.125</v>
          </cell>
          <cell r="E75">
            <v>0.94284944859315778</v>
          </cell>
          <cell r="F75">
            <v>-0.94284944859315778</v>
          </cell>
        </row>
        <row r="76">
          <cell r="B76">
            <v>8.25</v>
          </cell>
          <cell r="E76">
            <v>0.94783338125722527</v>
          </cell>
          <cell r="F76">
            <v>-0.94783338125722527</v>
          </cell>
        </row>
        <row r="77">
          <cell r="B77">
            <v>8.375</v>
          </cell>
          <cell r="E77">
            <v>0.95284365915046687</v>
          </cell>
          <cell r="F77">
            <v>-0.95284365915046687</v>
          </cell>
        </row>
        <row r="78">
          <cell r="B78">
            <v>8.5</v>
          </cell>
          <cell r="E78">
            <v>0.95788042153461572</v>
          </cell>
          <cell r="F78">
            <v>-0.95788042153461572</v>
          </cell>
        </row>
        <row r="79">
          <cell r="B79">
            <v>8.625</v>
          </cell>
          <cell r="E79">
            <v>0.9629438084075469</v>
          </cell>
          <cell r="F79">
            <v>-0.9629438084075469</v>
          </cell>
        </row>
        <row r="80">
          <cell r="B80">
            <v>8.75</v>
          </cell>
          <cell r="E80">
            <v>0.96803396050716883</v>
          </cell>
          <cell r="F80">
            <v>-0.96803396050716883</v>
          </cell>
        </row>
        <row r="81">
          <cell r="B81">
            <v>8.875</v>
          </cell>
          <cell r="E81">
            <v>0.97315101931533499</v>
          </cell>
          <cell r="F81">
            <v>-0.97315101931533499</v>
          </cell>
        </row>
        <row r="82">
          <cell r="B82">
            <v>9</v>
          </cell>
          <cell r="E82">
            <v>0.97829512706177646</v>
          </cell>
          <cell r="F82">
            <v>-0.97829512706177646</v>
          </cell>
        </row>
        <row r="83">
          <cell r="B83">
            <v>9.125</v>
          </cell>
          <cell r="E83">
            <v>0.98346642672805551</v>
          </cell>
          <cell r="F83">
            <v>-0.98346642672805551</v>
          </cell>
        </row>
        <row r="84">
          <cell r="B84">
            <v>9.25</v>
          </cell>
          <cell r="E84">
            <v>0.98866506205153937</v>
          </cell>
          <cell r="F84">
            <v>-0.98866506205153937</v>
          </cell>
        </row>
        <row r="85">
          <cell r="B85">
            <v>9.375</v>
          </cell>
          <cell r="E85">
            <v>0.9938911775293956</v>
          </cell>
          <cell r="F85">
            <v>-0.9938911775293956</v>
          </cell>
        </row>
        <row r="86">
          <cell r="B86">
            <v>9.5</v>
          </cell>
          <cell r="E86">
            <v>0.99914491842260855</v>
          </cell>
          <cell r="F86">
            <v>-0.99914491842260855</v>
          </cell>
        </row>
        <row r="87">
          <cell r="B87">
            <v>9.625</v>
          </cell>
          <cell r="E87">
            <v>1.0044264307600168</v>
          </cell>
          <cell r="F87">
            <v>-1.0044264307600168</v>
          </cell>
        </row>
        <row r="88">
          <cell r="B88">
            <v>9.75</v>
          </cell>
          <cell r="E88">
            <v>1.0097358613423724</v>
          </cell>
          <cell r="F88">
            <v>-1.0097358613423724</v>
          </cell>
        </row>
        <row r="89">
          <cell r="B89">
            <v>9.875</v>
          </cell>
          <cell r="E89">
            <v>1.0150733577464204</v>
          </cell>
          <cell r="F89">
            <v>-1.0150733577464204</v>
          </cell>
        </row>
        <row r="90">
          <cell r="B90">
            <v>10</v>
          </cell>
          <cell r="E90">
            <v>1.0204390683290012</v>
          </cell>
          <cell r="F90">
            <v>-1.0204390683290012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VW Boxer"/>
      <sheetName val="Displacement &amp; Cam Graph"/>
      <sheetName val="Sheet2"/>
      <sheetName val="Cams"/>
    </sheetNames>
    <sheetDataSet>
      <sheetData sheetId="0" refreshError="1"/>
      <sheetData sheetId="1" refreshError="1"/>
      <sheetData sheetId="2">
        <row r="19">
          <cell r="K19">
            <v>5</v>
          </cell>
          <cell r="L19">
            <v>0.85</v>
          </cell>
        </row>
        <row r="20">
          <cell r="K20">
            <v>4</v>
          </cell>
          <cell r="L20">
            <v>1</v>
          </cell>
        </row>
        <row r="21">
          <cell r="K21">
            <v>3</v>
          </cell>
          <cell r="L21">
            <v>1.3</v>
          </cell>
        </row>
        <row r="22">
          <cell r="K22">
            <v>2</v>
          </cell>
          <cell r="L22">
            <v>2</v>
          </cell>
        </row>
        <row r="23">
          <cell r="K23">
            <v>1</v>
          </cell>
          <cell r="L23">
            <v>3.5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maxracesoftwares.com/forum/viewtopic.php?f=14&amp;t=263" TargetMode="External"/><Relationship Id="rId20" Type="http://schemas.openxmlformats.org/officeDocument/2006/relationships/hyperlink" Target="https://welib.org/slow_download/be84858ac7e80c1033c2960180b46161/0/0" TargetMode="External"/><Relationship Id="rId21" Type="http://schemas.openxmlformats.org/officeDocument/2006/relationships/hyperlink" Target="https://annas-archive.org/md5/a909ca4cac9fc75b7eba17c6efea3327" TargetMode="External"/><Relationship Id="rId22" Type="http://schemas.openxmlformats.org/officeDocument/2006/relationships/hyperlink" Target="https://www.amstzone.org/Home/VWboxer88x82.xlsx" TargetMode="External"/><Relationship Id="rId23" Type="http://schemas.openxmlformats.org/officeDocument/2006/relationships/hyperlink" Target="https://www.amstzone.org/Home/VWboxer88x74.xlsx" TargetMode="External"/><Relationship Id="rId24" Type="http://schemas.openxmlformats.org/officeDocument/2006/relationships/hyperlink" Target="https://www.amstzone.org/Home/VWboxer86x92.xlsx" TargetMode="External"/><Relationship Id="rId25" Type="http://schemas.openxmlformats.org/officeDocument/2006/relationships/hyperlink" Target="https://www.amstzone.org/Home/VWboxerSBC.xlsx" TargetMode="External"/><Relationship Id="rId26" Type="http://schemas.openxmlformats.org/officeDocument/2006/relationships/hyperlink" Target="https://www.amstzone.org/Home/VWboxer86x86.xlsx" TargetMode="External"/><Relationship Id="rId27" Type="http://schemas.openxmlformats.org/officeDocument/2006/relationships/drawing" Target="../drawings/drawing1.xml"/><Relationship Id="rId10" Type="http://schemas.openxmlformats.org/officeDocument/2006/relationships/hyperlink" Target="http://www.magneticlynx.com/DV/" TargetMode="External"/><Relationship Id="rId11" Type="http://schemas.openxmlformats.org/officeDocument/2006/relationships/hyperlink" Target="https://youtube.com/@davidvizard" TargetMode="External"/><Relationship Id="rId12" Type="http://schemas.openxmlformats.org/officeDocument/2006/relationships/hyperlink" Target="https://www.bainracing.com.au/" TargetMode="External"/><Relationship Id="rId13" Type="http://schemas.openxmlformats.org/officeDocument/2006/relationships/hyperlink" Target="https://youtube.com/@bainracing" TargetMode="External"/><Relationship Id="rId14" Type="http://schemas.openxmlformats.org/officeDocument/2006/relationships/hyperlink" Target="https://www.youtube.com/@salterracingengines" TargetMode="External"/><Relationship Id="rId15" Type="http://schemas.openxmlformats.org/officeDocument/2006/relationships/hyperlink" Target="https://www.youtube.com/@benalemedaracing2765" TargetMode="External"/><Relationship Id="rId16" Type="http://schemas.openxmlformats.org/officeDocument/2006/relationships/hyperlink" Target="https://MotoIQ.com" TargetMode="External"/><Relationship Id="rId17" Type="http://schemas.openxmlformats.org/officeDocument/2006/relationships/hyperlink" Target="https://youtube.com/@motoiq" TargetMode="External"/><Relationship Id="rId18" Type="http://schemas.openxmlformats.org/officeDocument/2006/relationships/hyperlink" Target="https://www.themotorbookstore.com/how-to-build-horsepower.html" TargetMode="External"/><Relationship Id="rId19" Type="http://schemas.openxmlformats.org/officeDocument/2006/relationships/hyperlink" Target="https://annas-archive.org/md5/3354d844c5bc7acfdfe0aa4c6a91bac2" TargetMode="External"/><Relationship Id="rId1" Type="http://schemas.openxmlformats.org/officeDocument/2006/relationships/hyperlink" Target="https://creativecommons.org/" TargetMode="External"/><Relationship Id="rId2" Type="http://schemas.openxmlformats.org/officeDocument/2006/relationships/hyperlink" Target="https://creativecommons.org/licenses/" TargetMode="External"/><Relationship Id="rId3" Type="http://schemas.openxmlformats.org/officeDocument/2006/relationships/hyperlink" Target="https://www.tapr.org/" TargetMode="External"/><Relationship Id="rId4" Type="http://schemas.openxmlformats.org/officeDocument/2006/relationships/hyperlink" Target="https://cern-ohl.web.cern.ch/" TargetMode="External"/><Relationship Id="rId5" Type="http://schemas.openxmlformats.org/officeDocument/2006/relationships/hyperlink" Target="mailto:johng@mylinuxisp.com" TargetMode="External"/><Relationship Id="rId6" Type="http://schemas.openxmlformats.org/officeDocument/2006/relationships/hyperlink" Target="https://www.amstzone.org/Home/VWboxer.pdf" TargetMode="External"/><Relationship Id="rId7" Type="http://schemas.openxmlformats.org/officeDocument/2006/relationships/hyperlink" Target="https://www.themotorbookstore.com/how-to-port-and-flow-test.html" TargetMode="External"/><Relationship Id="rId8" Type="http://schemas.openxmlformats.org/officeDocument/2006/relationships/hyperlink" Target="https://www.themotorbookstore.com/performance-automotive-engine-math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"/>
  <sheetViews>
    <sheetView tabSelected="1" zoomScale="125" zoomScaleNormal="125" zoomScaleSheetLayoutView="1" zoomScalePageLayoutView="125" workbookViewId="0"/>
  </sheetViews>
  <sheetFormatPr baseColWidth="10" defaultColWidth="8.7109375" defaultRowHeight="12" x14ac:dyDescent="0"/>
  <cols>
    <col min="1" max="1" width="32.5703125" style="67" customWidth="1"/>
    <col min="2" max="2" width="11.28515625" style="67" customWidth="1"/>
    <col min="3" max="3" width="10.28515625" style="67" customWidth="1"/>
    <col min="4" max="4" width="22" style="67" customWidth="1"/>
    <col min="5" max="5" width="6.28515625" style="67" customWidth="1"/>
    <col min="6" max="6" width="10.140625" style="67" customWidth="1"/>
    <col min="7" max="7" width="11" style="67" customWidth="1"/>
    <col min="8" max="8" width="15" style="67" customWidth="1"/>
    <col min="9" max="9" width="9" style="67" customWidth="1"/>
    <col min="10" max="10" width="9.42578125" style="67" customWidth="1"/>
    <col min="11" max="11" width="11.28515625" style="67" customWidth="1"/>
    <col min="12" max="12" width="10.140625" style="67" customWidth="1"/>
    <col min="13" max="15" width="8.42578125" style="67" customWidth="1"/>
    <col min="16" max="16" width="9.85546875" style="67" customWidth="1"/>
    <col min="17" max="17" width="8.42578125" style="67" customWidth="1"/>
    <col min="18" max="19" width="9.85546875" style="2" bestFit="1" customWidth="1"/>
    <col min="20" max="20" width="7" style="2" customWidth="1"/>
    <col min="21" max="21" width="10" style="2" customWidth="1"/>
    <col min="22" max="22" width="9.85546875" style="2" bestFit="1" customWidth="1"/>
    <col min="23" max="28" width="8.7109375" style="2"/>
    <col min="29" max="29" width="10.28515625" style="2" customWidth="1"/>
    <col min="30" max="16384" width="8.7109375" style="2"/>
  </cols>
  <sheetData>
    <row r="1" spans="1:19" ht="20" customHeight="1">
      <c r="A1" s="2" t="s">
        <v>498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23" customHeight="1">
      <c r="B2" s="387" t="s">
        <v>697</v>
      </c>
      <c r="E2" s="117" t="s">
        <v>642</v>
      </c>
    </row>
    <row r="3" spans="1:19" ht="20" customHeight="1">
      <c r="B3" s="455" t="s">
        <v>698</v>
      </c>
      <c r="E3" s="117"/>
    </row>
    <row r="4" spans="1:19" ht="20" customHeight="1">
      <c r="A4" s="362" t="s">
        <v>31</v>
      </c>
      <c r="G4" s="54" t="s">
        <v>45</v>
      </c>
      <c r="H4" s="55" t="s">
        <v>46</v>
      </c>
      <c r="I4" s="56" t="s">
        <v>47</v>
      </c>
    </row>
    <row r="5" spans="1:19" ht="18.25" customHeight="1">
      <c r="A5" s="12" t="s">
        <v>42</v>
      </c>
      <c r="B5" s="122">
        <f>B7/B8</f>
        <v>1</v>
      </c>
      <c r="C5" s="49">
        <f>SQRT(PI()*(B7/2)^2)/B8</f>
        <v>0.88622692545275794</v>
      </c>
      <c r="D5" s="40" t="s">
        <v>32</v>
      </c>
      <c r="G5" s="74" t="s">
        <v>30</v>
      </c>
      <c r="H5" s="35">
        <v>77</v>
      </c>
      <c r="I5" s="35">
        <v>83</v>
      </c>
      <c r="J5" s="35">
        <v>85.5</v>
      </c>
      <c r="K5" s="36">
        <v>86</v>
      </c>
      <c r="L5" s="36">
        <v>87</v>
      </c>
      <c r="M5" s="35">
        <v>88</v>
      </c>
      <c r="N5" s="35">
        <v>90</v>
      </c>
      <c r="O5" s="35">
        <v>90.5</v>
      </c>
      <c r="P5" s="35">
        <v>92</v>
      </c>
      <c r="Q5" s="36">
        <v>94</v>
      </c>
      <c r="R5" s="35">
        <v>96.5</v>
      </c>
      <c r="S5" s="37">
        <v>101.6</v>
      </c>
    </row>
    <row r="6" spans="1:19" ht="17">
      <c r="A6" s="119"/>
      <c r="B6" s="3" t="str">
        <f>CONCATENATE(ROUND(B7/25.4,3),"""")</f>
        <v>3.386"</v>
      </c>
      <c r="G6" s="51">
        <v>64</v>
      </c>
      <c r="H6" s="47">
        <v>1192.0961819605686</v>
      </c>
      <c r="I6" s="38">
        <v>1385.1156345971258</v>
      </c>
      <c r="J6" s="118">
        <v>1470</v>
      </c>
      <c r="K6" s="127">
        <v>1487</v>
      </c>
      <c r="L6" s="127">
        <v>1522</v>
      </c>
      <c r="M6" s="118">
        <v>1557</v>
      </c>
      <c r="N6" s="118">
        <v>1629</v>
      </c>
      <c r="O6" s="118">
        <v>1647</v>
      </c>
      <c r="P6" s="118">
        <v>1702</v>
      </c>
      <c r="Q6" s="127">
        <v>1777</v>
      </c>
      <c r="R6" s="118">
        <v>1782</v>
      </c>
      <c r="S6" s="39">
        <v>2075</v>
      </c>
    </row>
    <row r="7" spans="1:19" ht="17">
      <c r="A7" s="12" t="s">
        <v>89</v>
      </c>
      <c r="B7" s="4">
        <v>86</v>
      </c>
      <c r="C7" s="68">
        <f>PI()*B7^2*B8/4000</f>
        <v>499.55721421792737</v>
      </c>
      <c r="D7" s="116" t="s">
        <v>1</v>
      </c>
      <c r="G7" s="51">
        <v>69</v>
      </c>
      <c r="H7" s="47">
        <v>1285.2286961762381</v>
      </c>
      <c r="I7" s="47">
        <v>1493.3277935500262</v>
      </c>
      <c r="J7" s="48">
        <v>1585</v>
      </c>
      <c r="K7" s="127">
        <v>1603</v>
      </c>
      <c r="L7" s="127">
        <v>1641</v>
      </c>
      <c r="M7" s="118">
        <v>1679</v>
      </c>
      <c r="N7" s="118">
        <v>1756</v>
      </c>
      <c r="O7" s="118">
        <v>1775</v>
      </c>
      <c r="P7" s="118">
        <v>1835</v>
      </c>
      <c r="Q7" s="127">
        <v>1915</v>
      </c>
      <c r="R7" s="118">
        <v>2019</v>
      </c>
      <c r="S7" s="39">
        <v>2237</v>
      </c>
    </row>
    <row r="8" spans="1:19" ht="17">
      <c r="A8" s="12" t="s">
        <v>90</v>
      </c>
      <c r="B8" s="4">
        <v>86</v>
      </c>
      <c r="C8" s="13">
        <f>C7/2.54^3</f>
        <v>30.484851601112158</v>
      </c>
      <c r="D8" s="116" t="s">
        <v>0</v>
      </c>
      <c r="G8" s="51">
        <v>74</v>
      </c>
      <c r="H8" s="38">
        <v>1378.3612103919077</v>
      </c>
      <c r="I8" s="38">
        <v>1601.5399525029266</v>
      </c>
      <c r="J8" s="118">
        <v>1700</v>
      </c>
      <c r="K8" s="127">
        <v>1719</v>
      </c>
      <c r="L8" s="127">
        <v>1760</v>
      </c>
      <c r="M8" s="120">
        <v>1800</v>
      </c>
      <c r="N8" s="118">
        <v>1883</v>
      </c>
      <c r="O8" s="118">
        <v>1904</v>
      </c>
      <c r="P8" s="118">
        <v>1968</v>
      </c>
      <c r="Q8" s="127">
        <v>2054</v>
      </c>
      <c r="R8" s="118">
        <v>2165</v>
      </c>
      <c r="S8" s="39">
        <v>2399</v>
      </c>
    </row>
    <row r="9" spans="1:19" ht="17">
      <c r="A9" s="12"/>
      <c r="B9" s="6" t="str">
        <f>CONCATENATE(ROUND(B8/25.4,3),"""")</f>
        <v>3.386"</v>
      </c>
      <c r="C9" s="13"/>
      <c r="D9" s="116"/>
      <c r="G9" s="53">
        <v>76</v>
      </c>
      <c r="H9" s="38">
        <v>1415.6142160781753</v>
      </c>
      <c r="I9" s="38">
        <v>1644.8248160840867</v>
      </c>
      <c r="J9" s="118">
        <v>1745</v>
      </c>
      <c r="K9" s="127">
        <v>1766</v>
      </c>
      <c r="L9" s="127">
        <v>1807</v>
      </c>
      <c r="M9" s="118">
        <v>1849</v>
      </c>
      <c r="N9" s="118">
        <v>1934</v>
      </c>
      <c r="O9" s="118">
        <v>1956</v>
      </c>
      <c r="P9" s="118">
        <v>2021</v>
      </c>
      <c r="Q9" s="127">
        <v>2110</v>
      </c>
      <c r="R9" s="118">
        <v>2223</v>
      </c>
      <c r="S9" s="39">
        <v>2465</v>
      </c>
    </row>
    <row r="10" spans="1:19" ht="17">
      <c r="A10" s="116"/>
      <c r="B10" s="118" t="str">
        <f>CONCATENATE(ROUND(1.8*B8/25.4,3),""" ≥ Length ≥ ", ROUND(1.6*B8/25.4,3),"""")</f>
        <v>6.094" ≥ Length ≥ 5.417"</v>
      </c>
      <c r="E10" s="120" t="s">
        <v>12</v>
      </c>
      <c r="F10" s="120" t="s">
        <v>19</v>
      </c>
      <c r="G10" s="52">
        <v>78</v>
      </c>
      <c r="H10" s="38">
        <v>1452.867221764443</v>
      </c>
      <c r="I10" s="38">
        <v>1688.1096796652469</v>
      </c>
      <c r="J10" s="118">
        <v>1791</v>
      </c>
      <c r="K10" s="127">
        <v>1812</v>
      </c>
      <c r="L10" s="127">
        <v>1855</v>
      </c>
      <c r="M10" s="118">
        <v>1898</v>
      </c>
      <c r="N10" s="118">
        <v>1985</v>
      </c>
      <c r="O10" s="118">
        <v>2007</v>
      </c>
      <c r="P10" s="118">
        <v>2074</v>
      </c>
      <c r="Q10" s="127">
        <v>2165</v>
      </c>
      <c r="R10" s="118">
        <v>2282</v>
      </c>
      <c r="S10" s="39">
        <v>2529</v>
      </c>
    </row>
    <row r="11" spans="1:19" ht="17">
      <c r="A11" s="12" t="s">
        <v>88</v>
      </c>
      <c r="B11" s="166">
        <v>5.5905511811023629</v>
      </c>
      <c r="C11" s="122">
        <f>25.4*B11/B8</f>
        <v>1.6511627906976745</v>
      </c>
      <c r="D11" s="114" t="s">
        <v>6</v>
      </c>
      <c r="E11" s="10">
        <v>3.875</v>
      </c>
      <c r="F11" s="10">
        <v>142</v>
      </c>
      <c r="G11" s="52">
        <v>80</v>
      </c>
      <c r="H11" s="118">
        <v>1490</v>
      </c>
      <c r="I11" s="118">
        <v>1731</v>
      </c>
      <c r="J11" s="118">
        <v>1837</v>
      </c>
      <c r="K11" s="118">
        <v>1859</v>
      </c>
      <c r="L11" s="118">
        <v>1902</v>
      </c>
      <c r="M11" s="118">
        <v>1946</v>
      </c>
      <c r="N11" s="118">
        <v>2036</v>
      </c>
      <c r="O11" s="118">
        <v>2058</v>
      </c>
      <c r="P11" s="118">
        <v>2127</v>
      </c>
      <c r="Q11" s="118">
        <v>2221</v>
      </c>
      <c r="R11" s="118">
        <v>2340</v>
      </c>
      <c r="S11" s="39">
        <v>2594</v>
      </c>
    </row>
    <row r="12" spans="1:19" ht="17">
      <c r="B12" s="68">
        <f>25.4*B11</f>
        <v>142</v>
      </c>
      <c r="C12" s="106" t="s">
        <v>19</v>
      </c>
      <c r="E12" s="120" t="s">
        <v>19</v>
      </c>
      <c r="F12" s="120" t="s">
        <v>12</v>
      </c>
      <c r="G12" s="52">
        <v>82</v>
      </c>
      <c r="H12" s="38">
        <v>1527.3732331369788</v>
      </c>
      <c r="I12" s="38">
        <v>1774.6794068275674</v>
      </c>
      <c r="J12" s="118">
        <v>1883</v>
      </c>
      <c r="K12" s="127">
        <v>1905</v>
      </c>
      <c r="L12" s="127">
        <v>1950</v>
      </c>
      <c r="M12" s="120">
        <v>1995</v>
      </c>
      <c r="N12" s="118">
        <v>2087</v>
      </c>
      <c r="O12" s="118">
        <v>2110</v>
      </c>
      <c r="P12" s="249">
        <v>2180</v>
      </c>
      <c r="Q12" s="127">
        <v>2276</v>
      </c>
      <c r="R12" s="118">
        <v>2399</v>
      </c>
      <c r="S12" s="39">
        <v>2659</v>
      </c>
    </row>
    <row r="13" spans="1:19" ht="17">
      <c r="A13" s="12" t="s">
        <v>22</v>
      </c>
      <c r="B13" s="10">
        <v>5</v>
      </c>
      <c r="C13" s="106"/>
      <c r="D13" s="136" t="s">
        <v>647</v>
      </c>
      <c r="E13" s="68">
        <f>25.4*E11</f>
        <v>98.424999999999997</v>
      </c>
      <c r="F13" s="122">
        <f>F11/25.4</f>
        <v>5.5905511811023629</v>
      </c>
      <c r="G13" s="52">
        <v>84</v>
      </c>
      <c r="H13" s="38">
        <v>1564.6262388232465</v>
      </c>
      <c r="I13" s="38">
        <v>1817.9642704087278</v>
      </c>
      <c r="J13" s="118">
        <v>1929</v>
      </c>
      <c r="K13" s="127">
        <v>1952</v>
      </c>
      <c r="L13" s="127">
        <v>1997</v>
      </c>
      <c r="M13" s="118">
        <v>2044</v>
      </c>
      <c r="N13" s="118">
        <v>2138</v>
      </c>
      <c r="O13" s="118">
        <v>2161</v>
      </c>
      <c r="P13" s="118">
        <v>2234</v>
      </c>
      <c r="Q13" s="127">
        <v>2332</v>
      </c>
      <c r="R13" s="118">
        <v>2457</v>
      </c>
      <c r="S13" s="39">
        <v>2724</v>
      </c>
    </row>
    <row r="14" spans="1:19" ht="17">
      <c r="A14" s="12" t="s">
        <v>8</v>
      </c>
      <c r="B14" s="68">
        <f>B13*C8</f>
        <v>152.4242580055608</v>
      </c>
      <c r="C14" s="116" t="s">
        <v>0</v>
      </c>
      <c r="D14" s="391" t="s">
        <v>648</v>
      </c>
      <c r="G14" s="52">
        <v>86</v>
      </c>
      <c r="H14" s="38">
        <v>1601.8792445095141</v>
      </c>
      <c r="I14" s="38">
        <v>1861.2491339898879</v>
      </c>
      <c r="J14" s="118">
        <v>1975</v>
      </c>
      <c r="K14" s="127">
        <v>1998</v>
      </c>
      <c r="L14" s="127">
        <v>2045</v>
      </c>
      <c r="M14" s="118">
        <v>2092</v>
      </c>
      <c r="N14" s="120">
        <v>2188</v>
      </c>
      <c r="O14" s="120">
        <v>2213</v>
      </c>
      <c r="P14" s="120">
        <v>2287</v>
      </c>
      <c r="Q14" s="127">
        <v>2387</v>
      </c>
      <c r="R14" s="118">
        <v>2516</v>
      </c>
      <c r="S14" s="39">
        <v>2789</v>
      </c>
    </row>
    <row r="15" spans="1:19" ht="18">
      <c r="A15" s="12" t="s">
        <v>48</v>
      </c>
      <c r="B15" s="68">
        <f>B13*C7</f>
        <v>2497.7860710896366</v>
      </c>
      <c r="C15" s="116" t="s">
        <v>1</v>
      </c>
      <c r="D15" s="392" t="s">
        <v>650</v>
      </c>
      <c r="G15" s="52">
        <v>88</v>
      </c>
      <c r="H15" s="38">
        <v>1639.132250195782</v>
      </c>
      <c r="I15" s="38">
        <v>1904.5339975710478</v>
      </c>
      <c r="J15" s="118">
        <v>2021</v>
      </c>
      <c r="K15" s="127">
        <v>2045</v>
      </c>
      <c r="L15" s="127">
        <v>2093</v>
      </c>
      <c r="M15" s="118">
        <v>2141</v>
      </c>
      <c r="N15" s="118">
        <v>2239</v>
      </c>
      <c r="O15" s="118">
        <v>2264</v>
      </c>
      <c r="P15" s="118">
        <v>2340</v>
      </c>
      <c r="Q15" s="127">
        <v>2443</v>
      </c>
      <c r="R15" s="118">
        <v>2574</v>
      </c>
      <c r="S15" s="39">
        <v>2854</v>
      </c>
    </row>
    <row r="16" spans="1:19" ht="18">
      <c r="B16" s="68">
        <f>B15/1000</f>
        <v>2.4977860710896365</v>
      </c>
      <c r="C16" s="116" t="s">
        <v>3</v>
      </c>
      <c r="D16" s="392" t="s">
        <v>651</v>
      </c>
      <c r="G16" s="52">
        <v>90</v>
      </c>
      <c r="H16" s="38">
        <v>1676</v>
      </c>
      <c r="I16" s="38">
        <v>1948</v>
      </c>
      <c r="J16" s="118">
        <v>2067</v>
      </c>
      <c r="K16" s="127">
        <v>2091</v>
      </c>
      <c r="L16" s="127">
        <v>2140</v>
      </c>
      <c r="M16" s="127">
        <v>2190</v>
      </c>
      <c r="N16" s="118">
        <v>2290</v>
      </c>
      <c r="O16" s="118">
        <v>2316</v>
      </c>
      <c r="P16" s="127">
        <v>2393</v>
      </c>
      <c r="Q16" s="127">
        <v>2498</v>
      </c>
      <c r="R16" s="118">
        <v>2633</v>
      </c>
      <c r="S16" s="39">
        <v>2919</v>
      </c>
    </row>
    <row r="17" spans="1:27" ht="18">
      <c r="D17" s="410" t="s">
        <v>676</v>
      </c>
      <c r="G17" s="159" t="s">
        <v>15</v>
      </c>
      <c r="H17" s="157" t="s">
        <v>16</v>
      </c>
      <c r="I17" s="157" t="s">
        <v>16</v>
      </c>
      <c r="J17" s="157" t="s">
        <v>16</v>
      </c>
      <c r="K17" s="157" t="s">
        <v>16</v>
      </c>
      <c r="L17" s="157" t="s">
        <v>16</v>
      </c>
      <c r="M17" s="157" t="s">
        <v>64</v>
      </c>
      <c r="N17" s="157" t="s">
        <v>17</v>
      </c>
      <c r="O17" s="157" t="s">
        <v>17</v>
      </c>
      <c r="P17" s="157" t="s">
        <v>17</v>
      </c>
      <c r="Q17" s="157" t="s">
        <v>17</v>
      </c>
      <c r="R17" s="157" t="s">
        <v>17</v>
      </c>
      <c r="S17" s="158" t="s">
        <v>17</v>
      </c>
    </row>
    <row r="18" spans="1:27" ht="19" customHeight="1">
      <c r="A18" s="12" t="s">
        <v>586</v>
      </c>
      <c r="B18" s="13">
        <f>B19/B13</f>
        <v>35.999009356893644</v>
      </c>
      <c r="D18" s="392" t="s">
        <v>652</v>
      </c>
    </row>
    <row r="19" spans="1:27" ht="18" customHeight="1">
      <c r="A19" s="12" t="s">
        <v>2</v>
      </c>
      <c r="B19" s="57">
        <f>'Airflow &amp; Carburation'!$A$17</f>
        <v>179.99504678446823</v>
      </c>
      <c r="D19" s="400" t="s">
        <v>658</v>
      </c>
      <c r="M19" s="363" t="s">
        <v>640</v>
      </c>
      <c r="N19" s="371" t="s">
        <v>634</v>
      </c>
      <c r="AA19" s="2" t="s">
        <v>459</v>
      </c>
    </row>
    <row r="20" spans="1:27" ht="21" customHeight="1">
      <c r="A20" s="12" t="s">
        <v>49</v>
      </c>
      <c r="B20" s="14">
        <f>B19/B14</f>
        <v>1.1808818959637093</v>
      </c>
      <c r="N20" s="372" t="s">
        <v>457</v>
      </c>
      <c r="P20" s="380"/>
      <c r="Q20" s="92"/>
    </row>
    <row r="21" spans="1:27" ht="16" customHeight="1">
      <c r="A21" s="12" t="s">
        <v>684</v>
      </c>
      <c r="B21" s="13">
        <f>2.3948*SIN(PI()*(3.75*B22+20)/180)-0.6815</f>
        <v>1.2950719677516316</v>
      </c>
      <c r="C21" s="68">
        <f>B21*B14</f>
        <v>197.40038374834401</v>
      </c>
      <c r="D21" s="407" t="s">
        <v>683</v>
      </c>
      <c r="M21" s="197"/>
      <c r="N21" s="371" t="s">
        <v>635</v>
      </c>
      <c r="Q21" s="381" t="s">
        <v>643</v>
      </c>
    </row>
    <row r="22" spans="1:27" ht="18">
      <c r="A22" s="12" t="s">
        <v>29</v>
      </c>
      <c r="B22" s="461">
        <v>9.5</v>
      </c>
      <c r="C22" s="116" t="s">
        <v>6</v>
      </c>
      <c r="D22" s="398" t="s">
        <v>655</v>
      </c>
      <c r="M22" s="197"/>
      <c r="N22" s="371" t="s">
        <v>636</v>
      </c>
      <c r="Q22" s="2"/>
      <c r="R22" s="381" t="s">
        <v>643</v>
      </c>
    </row>
    <row r="23" spans="1:27" ht="17">
      <c r="A23" s="12" t="s">
        <v>440</v>
      </c>
      <c r="B23" s="4">
        <v>1.61</v>
      </c>
      <c r="C23" s="116" t="s">
        <v>1</v>
      </c>
      <c r="N23" s="371" t="s">
        <v>638</v>
      </c>
    </row>
    <row r="24" spans="1:27" ht="19" thickBot="1">
      <c r="A24" s="12" t="s">
        <v>10</v>
      </c>
      <c r="B24" s="10">
        <v>3.5000000000000003E-2</v>
      </c>
      <c r="C24" s="116" t="s">
        <v>11</v>
      </c>
      <c r="G24" s="370" t="s">
        <v>460</v>
      </c>
      <c r="N24" s="371" t="s">
        <v>637</v>
      </c>
      <c r="P24" s="381" t="s">
        <v>643</v>
      </c>
    </row>
    <row r="25" spans="1:27" ht="17">
      <c r="A25" s="12" t="s">
        <v>585</v>
      </c>
      <c r="B25" s="13">
        <f>2.54*B24*B7^2*PI()/400</f>
        <v>5.1640274818574117</v>
      </c>
      <c r="C25" s="116" t="s">
        <v>1</v>
      </c>
      <c r="E25" s="435" t="s">
        <v>624</v>
      </c>
      <c r="G25" s="168" t="s">
        <v>461</v>
      </c>
      <c r="I25" s="168" t="s">
        <v>462</v>
      </c>
      <c r="N25" s="371" t="s">
        <v>639</v>
      </c>
      <c r="T25" s="394"/>
      <c r="U25" s="420" t="s">
        <v>612</v>
      </c>
      <c r="V25" s="421"/>
    </row>
    <row r="26" spans="1:27" ht="17">
      <c r="A26" s="12" t="s">
        <v>616</v>
      </c>
      <c r="B26" s="13">
        <f>C7/(B22-1)</f>
        <v>58.771436966814981</v>
      </c>
      <c r="C26" s="116" t="s">
        <v>1</v>
      </c>
      <c r="E26" s="337">
        <f>B8*SIN(C44)/2</f>
        <v>39.473517012371921</v>
      </c>
      <c r="F26" s="118"/>
      <c r="G26" s="119" t="s">
        <v>464</v>
      </c>
      <c r="I26" s="168" t="s">
        <v>465</v>
      </c>
      <c r="K26" s="168" t="s">
        <v>463</v>
      </c>
      <c r="N26" s="373" t="s">
        <v>455</v>
      </c>
      <c r="P26" s="374" t="s">
        <v>456</v>
      </c>
      <c r="T26" s="422">
        <v>250</v>
      </c>
      <c r="U26" s="423" t="s">
        <v>433</v>
      </c>
      <c r="V26" s="263"/>
    </row>
    <row r="27" spans="1:27" ht="17">
      <c r="A27" s="12" t="s">
        <v>682</v>
      </c>
      <c r="B27" s="14">
        <f>B26-B23-B25</f>
        <v>51.997409484957572</v>
      </c>
      <c r="C27" s="116" t="s">
        <v>1</v>
      </c>
      <c r="E27" s="337">
        <f>B8*COS(C44)/2</f>
        <v>17.054074430293323</v>
      </c>
      <c r="F27" s="118"/>
      <c r="H27" s="364"/>
      <c r="N27" s="90" t="s">
        <v>458</v>
      </c>
      <c r="O27" s="90"/>
      <c r="P27" s="382"/>
      <c r="T27" s="424" t="s">
        <v>58</v>
      </c>
      <c r="U27" s="120" t="s">
        <v>611</v>
      </c>
      <c r="V27" s="425" t="s">
        <v>610</v>
      </c>
    </row>
    <row r="28" spans="1:27" ht="17">
      <c r="A28" s="12" t="s">
        <v>622</v>
      </c>
      <c r="B28" s="13">
        <f>B8-((E29+B8/2)-B12)</f>
        <v>65.6508433297289</v>
      </c>
      <c r="C28" s="45" t="s">
        <v>19</v>
      </c>
      <c r="E28" s="337">
        <f>SQRT(B12^2-E26^2)</f>
        <v>136.40323110056443</v>
      </c>
      <c r="F28" s="13"/>
      <c r="H28" s="364"/>
      <c r="N28" s="90" t="s">
        <v>494</v>
      </c>
      <c r="P28" s="372" t="s">
        <v>495</v>
      </c>
      <c r="T28" s="422">
        <v>2000</v>
      </c>
      <c r="U28" s="426">
        <f>T28*$B$8/152.4</f>
        <v>1128.6089238845143</v>
      </c>
      <c r="V28" s="427">
        <f>T28*PI()*$B$8/304.8</f>
        <v>1772.814752025736</v>
      </c>
    </row>
    <row r="29" spans="1:27" ht="18" thickBot="1">
      <c r="A29" s="12" t="s">
        <v>621</v>
      </c>
      <c r="B29" s="13">
        <f>B28*(B22-1)/B8+1</f>
        <v>7.488746143054601</v>
      </c>
      <c r="C29" s="116" t="s">
        <v>6</v>
      </c>
      <c r="D29" s="196" t="str">
        <f>CONCATENATE("× VE Factor: ",ROUND('Airflow &amp; Carburation'!$A$18*B29,2),":1")</f>
        <v>× VE Factor: 9.7:1</v>
      </c>
      <c r="E29" s="337">
        <f>E28-E27</f>
        <v>119.3491566702711</v>
      </c>
      <c r="F29" s="13"/>
      <c r="N29" s="90" t="s">
        <v>508</v>
      </c>
      <c r="P29" s="372" t="s">
        <v>507</v>
      </c>
      <c r="T29" s="428">
        <f t="shared" ref="T29:T58" si="0">T28+$T$26</f>
        <v>2250</v>
      </c>
      <c r="U29" s="426">
        <f t="shared" ref="U29:U30" si="1">T29*$B$8/152.4</f>
        <v>1269.6850393700786</v>
      </c>
      <c r="V29" s="427">
        <f t="shared" ref="V29:V30" si="2">T29*PI()*$B$8/304.8</f>
        <v>1994.4165960289531</v>
      </c>
    </row>
    <row r="30" spans="1:27" ht="18" thickBot="1">
      <c r="A30" s="345" t="s">
        <v>627</v>
      </c>
      <c r="B30" s="344" t="s">
        <v>630</v>
      </c>
      <c r="C30" s="338"/>
      <c r="D30" s="339"/>
      <c r="E30" s="340"/>
      <c r="F30" s="341"/>
      <c r="G30" s="343"/>
      <c r="H30" s="343"/>
      <c r="I30" s="343"/>
      <c r="J30" s="343"/>
      <c r="K30" s="342"/>
      <c r="N30" s="372" t="s">
        <v>641</v>
      </c>
      <c r="O30" s="371" t="s">
        <v>456</v>
      </c>
      <c r="T30" s="428">
        <f t="shared" si="0"/>
        <v>2500</v>
      </c>
      <c r="U30" s="426">
        <f t="shared" si="1"/>
        <v>1410.7611548556431</v>
      </c>
      <c r="V30" s="427">
        <f t="shared" si="2"/>
        <v>2216.0184400321705</v>
      </c>
    </row>
    <row r="31" spans="1:27" ht="21" customHeight="1">
      <c r="A31" s="12" t="s">
        <v>625</v>
      </c>
      <c r="B31" s="68">
        <f>1.36*'Airflow &amp; Carburation'!$A$8*B29</f>
        <v>149.67427411292937</v>
      </c>
      <c r="C31" s="116" t="s">
        <v>626</v>
      </c>
      <c r="D31" s="337"/>
      <c r="E31" s="12"/>
      <c r="F31" s="13"/>
      <c r="N31" s="2"/>
      <c r="T31" s="428">
        <f t="shared" si="0"/>
        <v>2750</v>
      </c>
      <c r="U31" s="426">
        <f>T31*$B$8/152.4</f>
        <v>1551.8372703412074</v>
      </c>
      <c r="V31" s="427">
        <f>T31*PI()*$B$8/304.8</f>
        <v>2437.6202840353872</v>
      </c>
    </row>
    <row r="32" spans="1:27" ht="19" customHeight="1" thickBot="1">
      <c r="A32" s="434" t="s">
        <v>681</v>
      </c>
      <c r="B32" s="432">
        <f>'Airflow &amp; Carburation'!$A$18*B31</f>
        <v>193.78367524599454</v>
      </c>
      <c r="C32" s="433" t="s">
        <v>626</v>
      </c>
      <c r="D32" s="256"/>
      <c r="E32" s="257"/>
      <c r="F32" s="258"/>
      <c r="G32" s="256"/>
      <c r="H32" s="256"/>
      <c r="I32" s="256"/>
      <c r="J32" s="256"/>
      <c r="K32" s="256"/>
      <c r="L32" s="256"/>
      <c r="N32" s="2"/>
      <c r="T32" s="428">
        <f t="shared" si="0"/>
        <v>3000</v>
      </c>
      <c r="U32" s="426">
        <f t="shared" ref="U32:U58" si="3">T32*$B$8/152.4</f>
        <v>1692.9133858267717</v>
      </c>
      <c r="V32" s="427">
        <f t="shared" ref="V32:V58" si="4">T32*PI()*$B$8/304.8</f>
        <v>2659.2221280386043</v>
      </c>
    </row>
    <row r="33" spans="1:22" ht="17" customHeight="1">
      <c r="A33" s="120" t="s">
        <v>591</v>
      </c>
      <c r="B33" s="120" t="s">
        <v>584</v>
      </c>
      <c r="D33" s="436" t="s">
        <v>628</v>
      </c>
      <c r="E33" s="12"/>
      <c r="F33" s="117" t="s">
        <v>23</v>
      </c>
      <c r="M33" s="261"/>
      <c r="N33" s="375"/>
      <c r="O33" s="261"/>
      <c r="P33" s="261"/>
      <c r="Q33" s="261"/>
      <c r="R33" s="376"/>
      <c r="T33" s="428">
        <f t="shared" si="0"/>
        <v>3250</v>
      </c>
      <c r="U33" s="426">
        <f t="shared" si="3"/>
        <v>1833.989501312336</v>
      </c>
      <c r="V33" s="427">
        <f t="shared" si="4"/>
        <v>2880.8239720418214</v>
      </c>
    </row>
    <row r="34" spans="1:22" ht="16" customHeight="1">
      <c r="A34" s="270" t="s">
        <v>571</v>
      </c>
      <c r="B34" s="271" t="str">
        <f>CONCATENATE(ROUND(B65,1)," / ", ROUND(B69,1))</f>
        <v>43.9 / 34.4</v>
      </c>
      <c r="C34" s="275" t="s">
        <v>19</v>
      </c>
      <c r="D34" s="437" t="str">
        <f>B75</f>
        <v>~ 110.9 °</v>
      </c>
      <c r="E34" s="12"/>
      <c r="F34" s="13"/>
      <c r="N34" s="251"/>
      <c r="R34" s="377"/>
      <c r="T34" s="428">
        <f t="shared" si="0"/>
        <v>3500</v>
      </c>
      <c r="U34" s="426">
        <f t="shared" si="3"/>
        <v>1975.0656167979002</v>
      </c>
      <c r="V34" s="427">
        <f t="shared" si="4"/>
        <v>3102.4258160450381</v>
      </c>
    </row>
    <row r="35" spans="1:22" ht="18" thickBot="1">
      <c r="A35" s="281" t="s">
        <v>569</v>
      </c>
      <c r="B35" s="282" t="str">
        <f>CONCATENATE(ROUND(B81,1)," / ", ROUND(B85,1))</f>
        <v>42.1 / 33.7</v>
      </c>
      <c r="C35" s="283" t="s">
        <v>19</v>
      </c>
      <c r="D35" s="438" t="str">
        <f>B91</f>
        <v>~ 108.6 °</v>
      </c>
      <c r="E35" s="12"/>
      <c r="F35" s="13"/>
      <c r="N35" s="251"/>
      <c r="R35" s="377"/>
      <c r="T35" s="428">
        <f t="shared" si="0"/>
        <v>3750</v>
      </c>
      <c r="U35" s="426">
        <f t="shared" si="3"/>
        <v>2116.1417322834645</v>
      </c>
      <c r="V35" s="427">
        <f t="shared" si="4"/>
        <v>3324.0276600482553</v>
      </c>
    </row>
    <row r="36" spans="1:22" ht="18" thickBot="1">
      <c r="A36" s="120" t="s">
        <v>93</v>
      </c>
      <c r="B36" s="166">
        <v>0.39300000000000002</v>
      </c>
      <c r="C36" s="116" t="s">
        <v>11</v>
      </c>
      <c r="E36" s="318" t="s">
        <v>599</v>
      </c>
      <c r="N36" s="251"/>
      <c r="R36" s="263"/>
      <c r="T36" s="428">
        <f t="shared" si="0"/>
        <v>4000</v>
      </c>
      <c r="U36" s="426">
        <f t="shared" si="3"/>
        <v>2257.2178477690286</v>
      </c>
      <c r="V36" s="427">
        <f t="shared" si="4"/>
        <v>3545.6295040514719</v>
      </c>
    </row>
    <row r="37" spans="1:22" ht="17">
      <c r="A37" s="12" t="s">
        <v>420</v>
      </c>
      <c r="B37" s="166">
        <v>1.4</v>
      </c>
      <c r="C37" s="275" t="str">
        <f>CONCATENATE( "   ", ROUND(2540*B38/B65,1),"% Lift Of Intake Valve Dia.")</f>
        <v xml:space="preserve">   31.9% Lift Of Intake Valve Dia.</v>
      </c>
      <c r="E37" s="302">
        <f>2540*B38/D65</f>
        <v>31.761545454545455</v>
      </c>
      <c r="F37" s="301" t="s">
        <v>442</v>
      </c>
      <c r="N37" s="251"/>
      <c r="R37" s="263"/>
      <c r="T37" s="428">
        <f t="shared" si="0"/>
        <v>4250</v>
      </c>
      <c r="U37" s="426">
        <f t="shared" si="3"/>
        <v>2398.2939632545931</v>
      </c>
      <c r="V37" s="427">
        <f t="shared" si="4"/>
        <v>3767.2313480546895</v>
      </c>
    </row>
    <row r="38" spans="1:22" ht="18" thickBot="1">
      <c r="A38" s="120" t="s">
        <v>92</v>
      </c>
      <c r="B38" s="122">
        <f>B37*B36</f>
        <v>0.55020000000000002</v>
      </c>
      <c r="C38" s="284" t="str">
        <f>CONCATENATE( """  ", ROUND(2311.4*B38/B82,1),"% Lift Of Intake Valve Dia.")</f>
        <v>"  35.7% Lift Of Intake Valve Dia.</v>
      </c>
      <c r="E38" s="303">
        <f>2311.4*B38/D82</f>
        <v>34.841980273972609</v>
      </c>
      <c r="F38" s="301" t="s">
        <v>442</v>
      </c>
      <c r="H38" s="12" t="s">
        <v>43</v>
      </c>
      <c r="N38" s="251"/>
      <c r="R38" s="263"/>
      <c r="T38" s="428">
        <f t="shared" si="0"/>
        <v>4500</v>
      </c>
      <c r="U38" s="426">
        <f t="shared" si="3"/>
        <v>2539.3700787401572</v>
      </c>
      <c r="V38" s="427">
        <f t="shared" si="4"/>
        <v>3988.8331920579062</v>
      </c>
    </row>
    <row r="39" spans="1:22" ht="17">
      <c r="A39" s="120" t="s">
        <v>18</v>
      </c>
      <c r="B39" s="10">
        <v>0</v>
      </c>
      <c r="C39" s="116" t="s">
        <v>33</v>
      </c>
      <c r="D39" s="315"/>
      <c r="E39" s="46"/>
      <c r="F39" s="18">
        <v>0</v>
      </c>
      <c r="G39" s="19">
        <v>0</v>
      </c>
      <c r="H39" s="50"/>
      <c r="N39" s="251"/>
      <c r="R39" s="377"/>
      <c r="T39" s="428">
        <f t="shared" si="0"/>
        <v>4750</v>
      </c>
      <c r="U39" s="426">
        <f t="shared" si="3"/>
        <v>2680.4461942257217</v>
      </c>
      <c r="V39" s="427">
        <f t="shared" si="4"/>
        <v>4210.4350360611234</v>
      </c>
    </row>
    <row r="40" spans="1:22" ht="18" customHeight="1">
      <c r="A40" s="12" t="s">
        <v>580</v>
      </c>
      <c r="B40" s="10">
        <v>109</v>
      </c>
      <c r="C40" s="116" t="s">
        <v>33</v>
      </c>
      <c r="D40" s="389" t="s">
        <v>663</v>
      </c>
      <c r="E40" s="46"/>
      <c r="F40" s="21">
        <f>-SIN(PI()*C46/180)</f>
        <v>-0.5299192642332049</v>
      </c>
      <c r="G40" s="22">
        <f>COS(PI()*C46/180)</f>
        <v>0.84804809615642596</v>
      </c>
      <c r="N40" s="251"/>
      <c r="R40" s="378"/>
      <c r="S40" s="150"/>
      <c r="T40" s="428">
        <f t="shared" si="0"/>
        <v>5000</v>
      </c>
      <c r="U40" s="426">
        <f t="shared" si="3"/>
        <v>2821.5223097112862</v>
      </c>
      <c r="V40" s="427">
        <f t="shared" si="4"/>
        <v>4432.0368800643409</v>
      </c>
    </row>
    <row r="41" spans="1:22" ht="17">
      <c r="A41" s="12" t="s">
        <v>34</v>
      </c>
      <c r="B41" s="10">
        <v>285</v>
      </c>
      <c r="C41" s="116" t="s">
        <v>33</v>
      </c>
      <c r="D41" s="390"/>
      <c r="E41" s="46"/>
      <c r="F41" s="9">
        <f>0</f>
        <v>0</v>
      </c>
      <c r="G41" s="5">
        <v>0</v>
      </c>
      <c r="N41" s="379"/>
      <c r="R41" s="377"/>
      <c r="T41" s="428">
        <f t="shared" si="0"/>
        <v>5250</v>
      </c>
      <c r="U41" s="426">
        <f t="shared" si="3"/>
        <v>2962.5984251968503</v>
      </c>
      <c r="V41" s="427">
        <f t="shared" si="4"/>
        <v>4653.6387240675576</v>
      </c>
    </row>
    <row r="42" spans="1:22" ht="18" thickBot="1">
      <c r="A42" s="12" t="s">
        <v>35</v>
      </c>
      <c r="B42" s="10">
        <v>248</v>
      </c>
      <c r="C42" s="116" t="s">
        <v>33</v>
      </c>
      <c r="E42" s="46"/>
      <c r="F42" s="21">
        <f>SIN(PI()*(C47)/180)</f>
        <v>0.57357643635104605</v>
      </c>
      <c r="G42" s="22">
        <f>COS(PI()*C47/180)</f>
        <v>0.8191520442889918</v>
      </c>
      <c r="N42" s="251"/>
      <c r="R42" s="377"/>
      <c r="T42" s="428">
        <f t="shared" si="0"/>
        <v>5500</v>
      </c>
      <c r="U42" s="426">
        <f t="shared" si="3"/>
        <v>3103.6745406824148</v>
      </c>
      <c r="V42" s="427">
        <f t="shared" si="4"/>
        <v>4875.2405680707743</v>
      </c>
    </row>
    <row r="43" spans="1:22" ht="17">
      <c r="A43" s="120" t="s">
        <v>37</v>
      </c>
      <c r="B43" s="44" t="s">
        <v>39</v>
      </c>
      <c r="C43" s="350">
        <f>C48-(C48-C54)/PI()</f>
        <v>66.63380227632419</v>
      </c>
      <c r="D43" s="119" t="s">
        <v>619</v>
      </c>
      <c r="E43" s="46"/>
      <c r="F43" s="9">
        <f>0</f>
        <v>0</v>
      </c>
      <c r="G43" s="5">
        <v>0</v>
      </c>
      <c r="N43" s="251"/>
      <c r="R43" s="377"/>
      <c r="T43" s="428">
        <f t="shared" si="0"/>
        <v>5750</v>
      </c>
      <c r="U43" s="426">
        <f t="shared" si="3"/>
        <v>3244.7506561679788</v>
      </c>
      <c r="V43" s="427">
        <f t="shared" si="4"/>
        <v>5096.8424120739919</v>
      </c>
    </row>
    <row r="44" spans="1:22" ht="18" thickBot="1">
      <c r="A44" s="120" t="s">
        <v>38</v>
      </c>
      <c r="B44" s="43" t="s">
        <v>39</v>
      </c>
      <c r="C44" s="351">
        <f>PI()*C43/180</f>
        <v>1.1629792428447496</v>
      </c>
      <c r="D44" s="119" t="s">
        <v>620</v>
      </c>
      <c r="E44" s="46"/>
      <c r="F44" s="21">
        <f>-SIN(PI()*(C48)/180)</f>
        <v>-0.95630475596303544</v>
      </c>
      <c r="G44" s="22">
        <f>-COS(PI()*C48/180)</f>
        <v>-0.29237170472273677</v>
      </c>
      <c r="N44" s="251"/>
      <c r="R44" s="377"/>
      <c r="T44" s="428">
        <f t="shared" si="0"/>
        <v>6000</v>
      </c>
      <c r="U44" s="426">
        <f t="shared" si="3"/>
        <v>3385.8267716535433</v>
      </c>
      <c r="V44" s="427">
        <f t="shared" si="4"/>
        <v>5318.4442560772086</v>
      </c>
    </row>
    <row r="45" spans="1:22" ht="18" customHeight="1">
      <c r="B45" s="118" t="s">
        <v>50</v>
      </c>
      <c r="C45" s="329" t="s">
        <v>623</v>
      </c>
      <c r="D45" s="119"/>
      <c r="E45" s="58"/>
      <c r="F45" s="9">
        <f>0</f>
        <v>0</v>
      </c>
      <c r="G45" s="5">
        <v>0</v>
      </c>
      <c r="H45" s="23" t="s">
        <v>24</v>
      </c>
      <c r="N45" s="251"/>
      <c r="R45" s="377"/>
      <c r="T45" s="428">
        <f t="shared" si="0"/>
        <v>6250</v>
      </c>
      <c r="U45" s="426">
        <f t="shared" si="3"/>
        <v>3526.9028871391074</v>
      </c>
      <c r="V45" s="427">
        <f t="shared" si="4"/>
        <v>5540.0461000804253</v>
      </c>
    </row>
    <row r="46" spans="1:22" ht="15.25" customHeight="1">
      <c r="A46" s="120" t="s">
        <v>14</v>
      </c>
      <c r="B46" s="118">
        <f>F47+B39</f>
        <v>33.5</v>
      </c>
      <c r="C46" s="10">
        <v>32</v>
      </c>
      <c r="D46" s="129" t="s">
        <v>25</v>
      </c>
      <c r="F46" s="26">
        <f>SIN(PI()*C49/180)</f>
        <v>0.93969262078590832</v>
      </c>
      <c r="G46" s="27">
        <f>-COS(PI()*C49/180)</f>
        <v>-0.34202014332566882</v>
      </c>
      <c r="H46" s="24">
        <v>0</v>
      </c>
      <c r="I46" s="19">
        <v>1</v>
      </c>
      <c r="N46" s="251"/>
      <c r="R46" s="377"/>
      <c r="T46" s="428">
        <f t="shared" si="0"/>
        <v>6500</v>
      </c>
      <c r="U46" s="426">
        <f t="shared" si="3"/>
        <v>3667.9790026246719</v>
      </c>
      <c r="V46" s="427">
        <f t="shared" si="4"/>
        <v>5761.6479440836429</v>
      </c>
    </row>
    <row r="47" spans="1:22" ht="15.25" customHeight="1">
      <c r="A47" s="120" t="s">
        <v>21</v>
      </c>
      <c r="B47" s="118">
        <f>F47-B39</f>
        <v>33.5</v>
      </c>
      <c r="C47" s="10">
        <v>35</v>
      </c>
      <c r="D47" s="41" t="s">
        <v>26</v>
      </c>
      <c r="E47" s="17"/>
      <c r="F47" s="9">
        <f>(B41-2*B40)/2</f>
        <v>33.5</v>
      </c>
      <c r="H47" s="28">
        <v>0</v>
      </c>
      <c r="I47" s="5">
        <v>-1</v>
      </c>
      <c r="N47" s="251"/>
      <c r="R47" s="377"/>
      <c r="T47" s="428">
        <f t="shared" si="0"/>
        <v>6750</v>
      </c>
      <c r="U47" s="426">
        <f t="shared" si="3"/>
        <v>3809.055118110236</v>
      </c>
      <c r="V47" s="427">
        <f t="shared" si="4"/>
        <v>5983.2497880868596</v>
      </c>
    </row>
    <row r="48" spans="1:22" ht="15.25" customHeight="1">
      <c r="A48" s="120" t="s">
        <v>5</v>
      </c>
      <c r="B48" s="118">
        <f>B41-F47-B39-180</f>
        <v>71.5</v>
      </c>
      <c r="C48" s="10">
        <v>73</v>
      </c>
      <c r="D48" s="41" t="s">
        <v>27</v>
      </c>
      <c r="E48" s="20"/>
      <c r="F48" s="9">
        <f>(B41-B42)/2</f>
        <v>18.5</v>
      </c>
      <c r="H48" s="28">
        <v>-1</v>
      </c>
      <c r="I48" s="5">
        <v>0</v>
      </c>
      <c r="N48" s="251"/>
      <c r="R48" s="377"/>
      <c r="T48" s="428">
        <f t="shared" si="0"/>
        <v>7000</v>
      </c>
      <c r="U48" s="426">
        <f t="shared" si="3"/>
        <v>3950.1312335958005</v>
      </c>
      <c r="V48" s="427">
        <f t="shared" si="4"/>
        <v>6204.8516320900762</v>
      </c>
    </row>
    <row r="49" spans="1:22" ht="15.25" customHeight="1">
      <c r="A49" s="120" t="s">
        <v>7</v>
      </c>
      <c r="B49" s="118">
        <f>-(180-B41+F47-B39)</f>
        <v>71.5</v>
      </c>
      <c r="C49" s="10">
        <v>70</v>
      </c>
      <c r="D49" s="42" t="s">
        <v>28</v>
      </c>
      <c r="E49" s="20"/>
      <c r="F49" s="18">
        <v>0</v>
      </c>
      <c r="G49" s="19">
        <v>0</v>
      </c>
      <c r="H49" s="29">
        <v>1</v>
      </c>
      <c r="I49" s="30">
        <v>0</v>
      </c>
      <c r="N49" s="251"/>
      <c r="R49" s="377"/>
      <c r="T49" s="428">
        <f t="shared" si="0"/>
        <v>7250</v>
      </c>
      <c r="U49" s="426">
        <f t="shared" si="3"/>
        <v>4091.2073490813646</v>
      </c>
      <c r="V49" s="427">
        <f t="shared" si="4"/>
        <v>6426.4534760932938</v>
      </c>
    </row>
    <row r="50" spans="1:22" ht="15.25" customHeight="1">
      <c r="A50" s="119"/>
      <c r="B50" s="118" t="s">
        <v>50</v>
      </c>
      <c r="C50" s="119"/>
      <c r="D50" s="119"/>
      <c r="F50" s="31">
        <f>-SIN(PI()*C52/180)</f>
        <v>-0.25881904510252074</v>
      </c>
      <c r="G50" s="22">
        <f>COS(PI()*C52/180)</f>
        <v>0.96592582628906831</v>
      </c>
      <c r="N50" s="251"/>
      <c r="R50" s="377"/>
      <c r="T50" s="428">
        <f t="shared" si="0"/>
        <v>7500</v>
      </c>
      <c r="U50" s="426">
        <f t="shared" si="3"/>
        <v>4232.2834645669291</v>
      </c>
      <c r="V50" s="427">
        <f t="shared" si="4"/>
        <v>6648.0553200965105</v>
      </c>
    </row>
    <row r="51" spans="1:22" ht="15.25" customHeight="1">
      <c r="A51" s="120" t="s">
        <v>9</v>
      </c>
      <c r="B51" s="118" t="s">
        <v>50</v>
      </c>
      <c r="C51" s="119"/>
      <c r="D51" s="119"/>
      <c r="E51" s="45" t="s">
        <v>40</v>
      </c>
      <c r="F51" s="28">
        <f>0</f>
        <v>0</v>
      </c>
      <c r="G51" s="5">
        <v>0</v>
      </c>
      <c r="L51" s="120" t="s">
        <v>41</v>
      </c>
      <c r="N51" s="251"/>
      <c r="R51" s="377"/>
      <c r="T51" s="428">
        <f t="shared" si="0"/>
        <v>7750</v>
      </c>
      <c r="U51" s="426">
        <f t="shared" si="3"/>
        <v>4373.3595800524936</v>
      </c>
      <c r="V51" s="427">
        <f t="shared" si="4"/>
        <v>6869.6571640997272</v>
      </c>
    </row>
    <row r="52" spans="1:22" ht="15.25" customHeight="1">
      <c r="A52" s="120" t="s">
        <v>14</v>
      </c>
      <c r="B52" s="118">
        <f>B46-$F$48</f>
        <v>15</v>
      </c>
      <c r="C52" s="10">
        <v>15</v>
      </c>
      <c r="D52" s="129" t="s">
        <v>25</v>
      </c>
      <c r="E52" s="32"/>
      <c r="F52" s="21">
        <f>SIN(PI()*(C53)/180)</f>
        <v>0.25881904510252074</v>
      </c>
      <c r="G52" s="22">
        <f>COS(PI()*C53/180)</f>
        <v>0.96592582628906831</v>
      </c>
      <c r="N52" s="251"/>
      <c r="R52" s="377"/>
      <c r="T52" s="428">
        <f t="shared" si="0"/>
        <v>8000</v>
      </c>
      <c r="U52" s="426">
        <f t="shared" si="3"/>
        <v>4514.4356955380572</v>
      </c>
      <c r="V52" s="427">
        <f t="shared" si="4"/>
        <v>7091.2590081029439</v>
      </c>
    </row>
    <row r="53" spans="1:22" ht="15.25" customHeight="1">
      <c r="A53" s="120" t="s">
        <v>21</v>
      </c>
      <c r="B53" s="118">
        <f>B47-$F$48</f>
        <v>15</v>
      </c>
      <c r="C53" s="10">
        <v>15</v>
      </c>
      <c r="D53" s="41" t="s">
        <v>26</v>
      </c>
      <c r="F53" s="9">
        <f>0</f>
        <v>0</v>
      </c>
      <c r="G53" s="5">
        <v>0</v>
      </c>
      <c r="N53" s="251"/>
      <c r="R53" s="377"/>
      <c r="T53" s="428">
        <f t="shared" si="0"/>
        <v>8250</v>
      </c>
      <c r="U53" s="426">
        <f t="shared" si="3"/>
        <v>4655.5118110236217</v>
      </c>
      <c r="V53" s="427">
        <f t="shared" si="4"/>
        <v>7312.8608521061615</v>
      </c>
    </row>
    <row r="54" spans="1:22" ht="15.25" customHeight="1">
      <c r="A54" s="120" t="s">
        <v>5</v>
      </c>
      <c r="B54" s="118">
        <f>B48-$F$48</f>
        <v>53</v>
      </c>
      <c r="C54" s="10">
        <v>53</v>
      </c>
      <c r="D54" s="41" t="s">
        <v>27</v>
      </c>
      <c r="F54" s="21">
        <f>-SIN(PI()*(C54)/180)</f>
        <v>-0.79863551004729283</v>
      </c>
      <c r="G54" s="22">
        <f>-COS(PI()*C54/180)</f>
        <v>-0.60181502315204838</v>
      </c>
      <c r="R54" s="377"/>
      <c r="T54" s="428">
        <f t="shared" si="0"/>
        <v>8500</v>
      </c>
      <c r="U54" s="426">
        <f t="shared" si="3"/>
        <v>4796.5879265091862</v>
      </c>
      <c r="V54" s="427">
        <f t="shared" si="4"/>
        <v>7534.4626961093791</v>
      </c>
    </row>
    <row r="55" spans="1:22" ht="15.25" customHeight="1">
      <c r="A55" s="120" t="s">
        <v>7</v>
      </c>
      <c r="B55" s="118">
        <f>B49-$F$48</f>
        <v>53</v>
      </c>
      <c r="C55" s="10">
        <v>53</v>
      </c>
      <c r="D55" s="42" t="s">
        <v>28</v>
      </c>
      <c r="E55" s="25"/>
      <c r="F55" s="9">
        <f>0</f>
        <v>0</v>
      </c>
      <c r="G55" s="5">
        <v>0</v>
      </c>
      <c r="R55" s="377"/>
      <c r="T55" s="428">
        <f t="shared" si="0"/>
        <v>8750</v>
      </c>
      <c r="U55" s="426">
        <f t="shared" si="3"/>
        <v>4937.6640419947507</v>
      </c>
      <c r="V55" s="427">
        <f t="shared" si="4"/>
        <v>7756.0645401125948</v>
      </c>
    </row>
    <row r="56" spans="1:22" ht="17">
      <c r="B56" s="118" t="s">
        <v>50</v>
      </c>
      <c r="C56" s="78" t="s">
        <v>52</v>
      </c>
      <c r="F56" s="33">
        <f>SIN(PI()*C55/180)</f>
        <v>0.79863551004729283</v>
      </c>
      <c r="G56" s="27">
        <f>-COS(PI()*C55/180)</f>
        <v>-0.60181502315204838</v>
      </c>
      <c r="R56" s="377"/>
      <c r="T56" s="428">
        <f t="shared" si="0"/>
        <v>9000</v>
      </c>
      <c r="U56" s="426">
        <f t="shared" si="3"/>
        <v>5078.7401574803143</v>
      </c>
      <c r="V56" s="427">
        <f t="shared" si="4"/>
        <v>7977.6663841158124</v>
      </c>
    </row>
    <row r="57" spans="1:22" ht="17">
      <c r="B57" s="12" t="s">
        <v>581</v>
      </c>
      <c r="C57" s="346">
        <f>(G59-G58)/2</f>
        <v>109</v>
      </c>
      <c r="D57" s="103" t="s">
        <v>33</v>
      </c>
      <c r="E57" s="60"/>
      <c r="F57" s="61">
        <f>180-C55</f>
        <v>127</v>
      </c>
      <c r="G57" s="62"/>
      <c r="R57" s="377"/>
      <c r="T57" s="428">
        <f t="shared" si="0"/>
        <v>9250</v>
      </c>
      <c r="U57" s="426">
        <f t="shared" si="3"/>
        <v>5219.8162729658789</v>
      </c>
      <c r="V57" s="427">
        <f t="shared" si="4"/>
        <v>8199.26822811903</v>
      </c>
    </row>
    <row r="58" spans="1:22" ht="17">
      <c r="A58" s="9"/>
      <c r="B58" s="12" t="s">
        <v>592</v>
      </c>
      <c r="C58" s="347">
        <f>C46+C47</f>
        <v>67</v>
      </c>
      <c r="D58" s="130" t="s">
        <v>33</v>
      </c>
      <c r="F58" s="64">
        <f>360-C52</f>
        <v>345</v>
      </c>
      <c r="G58" s="63">
        <f>(F57+F59)/2</f>
        <v>251</v>
      </c>
      <c r="R58" s="377"/>
      <c r="T58" s="428">
        <f t="shared" si="0"/>
        <v>9500</v>
      </c>
      <c r="U58" s="426">
        <f t="shared" si="3"/>
        <v>5360.8923884514434</v>
      </c>
      <c r="V58" s="427">
        <f t="shared" si="4"/>
        <v>8420.8700721222467</v>
      </c>
    </row>
    <row r="59" spans="1:22" ht="18" thickBot="1">
      <c r="A59" s="259"/>
      <c r="B59" s="256"/>
      <c r="C59" s="260"/>
      <c r="D59" s="256"/>
      <c r="F59" s="64">
        <f xml:space="preserve"> 360+C53</f>
        <v>375</v>
      </c>
      <c r="G59" s="63">
        <f>(F58+F60)/2</f>
        <v>469</v>
      </c>
      <c r="R59" s="377"/>
      <c r="T59" s="429" t="s">
        <v>596</v>
      </c>
      <c r="U59" s="430" t="s">
        <v>595</v>
      </c>
      <c r="V59" s="431" t="s">
        <v>595</v>
      </c>
    </row>
    <row r="60" spans="1:22">
      <c r="A60" s="261"/>
      <c r="B60" s="261"/>
      <c r="C60" s="261"/>
      <c r="D60" s="262"/>
      <c r="F60" s="65">
        <f>540+C54</f>
        <v>593</v>
      </c>
      <c r="G60" s="58"/>
      <c r="R60" s="377"/>
    </row>
    <row r="61" spans="1:22" ht="21">
      <c r="B61" s="265" t="s">
        <v>573</v>
      </c>
      <c r="D61" s="263"/>
      <c r="R61" s="377"/>
    </row>
    <row r="62" spans="1:22" ht="17">
      <c r="B62" s="118" t="s">
        <v>629</v>
      </c>
      <c r="C62" s="116"/>
      <c r="D62" s="263"/>
      <c r="R62" s="377"/>
    </row>
    <row r="63" spans="1:22" ht="18">
      <c r="A63" s="274" t="s">
        <v>571</v>
      </c>
      <c r="C63" s="456">
        <v>0.91</v>
      </c>
      <c r="D63" s="309" t="s">
        <v>699</v>
      </c>
      <c r="R63" s="377"/>
    </row>
    <row r="64" spans="1:22" ht="17">
      <c r="A64" s="12" t="s">
        <v>608</v>
      </c>
      <c r="B64" s="10">
        <v>8</v>
      </c>
      <c r="C64" s="120" t="s">
        <v>19</v>
      </c>
      <c r="D64" s="309" t="s">
        <v>599</v>
      </c>
      <c r="R64" s="377"/>
    </row>
    <row r="65" spans="1:21" ht="16" customHeight="1" thickBot="1">
      <c r="A65" s="12" t="s">
        <v>570</v>
      </c>
      <c r="B65" s="321">
        <f>0.51*B7</f>
        <v>43.86</v>
      </c>
      <c r="C65" s="120" t="s">
        <v>19</v>
      </c>
      <c r="D65" s="320">
        <v>44</v>
      </c>
      <c r="H65" s="12" t="s">
        <v>44</v>
      </c>
      <c r="R65" s="377"/>
    </row>
    <row r="66" spans="1:21" ht="17" customHeight="1">
      <c r="A66" s="12" t="s">
        <v>484</v>
      </c>
      <c r="B66" s="273">
        <f>C63*B65</f>
        <v>39.912599999999998</v>
      </c>
      <c r="C66" s="120" t="s">
        <v>19</v>
      </c>
      <c r="D66" s="365">
        <f>C63*D65</f>
        <v>40.04</v>
      </c>
      <c r="E66" s="261"/>
      <c r="F66" s="261"/>
      <c r="G66" s="261"/>
      <c r="H66" s="261"/>
      <c r="I66" s="261"/>
      <c r="J66" s="261"/>
      <c r="K66" s="261"/>
      <c r="L66" s="261"/>
      <c r="M66" s="261"/>
      <c r="N66" s="261"/>
      <c r="O66" s="261"/>
      <c r="P66" s="261"/>
      <c r="Q66" s="261"/>
      <c r="R66" s="375"/>
      <c r="S66" s="375"/>
      <c r="T66" s="375"/>
      <c r="U66" s="376"/>
    </row>
    <row r="67" spans="1:21" ht="17">
      <c r="A67" s="12" t="s">
        <v>597</v>
      </c>
      <c r="B67" s="273">
        <f>2*SQRT((B66/2)^2-(B64/2)^2)</f>
        <v>39.10262956324037</v>
      </c>
      <c r="C67" s="120" t="s">
        <v>19</v>
      </c>
      <c r="D67" s="365">
        <f>2*SQRT((D66/2)^2-(B64/2)^2)</f>
        <v>39.232659863944988</v>
      </c>
      <c r="I67" s="367"/>
      <c r="R67" s="251"/>
      <c r="S67" s="251"/>
      <c r="T67" s="251"/>
      <c r="U67" s="377"/>
    </row>
    <row r="68" spans="1:21" ht="17">
      <c r="A68" s="12" t="s">
        <v>598</v>
      </c>
      <c r="B68" s="273">
        <f>B7-B65-B69</f>
        <v>7.740000000000002</v>
      </c>
      <c r="C68" s="120" t="s">
        <v>19</v>
      </c>
      <c r="D68" s="179">
        <f>B7-D65-D69</f>
        <v>7.5</v>
      </c>
      <c r="I68" s="368"/>
      <c r="R68" s="251"/>
      <c r="S68" s="251"/>
      <c r="T68" s="251"/>
      <c r="U68" s="377"/>
    </row>
    <row r="69" spans="1:21" ht="16" customHeight="1">
      <c r="A69" s="12" t="s">
        <v>572</v>
      </c>
      <c r="B69" s="321">
        <f>0.4*B7</f>
        <v>34.4</v>
      </c>
      <c r="C69" s="120" t="s">
        <v>19</v>
      </c>
      <c r="D69" s="366">
        <v>34.5</v>
      </c>
      <c r="I69" s="369"/>
      <c r="R69" s="251"/>
      <c r="S69" s="251"/>
      <c r="T69" s="251"/>
      <c r="U69" s="377"/>
    </row>
    <row r="70" spans="1:21" ht="17">
      <c r="A70" s="12" t="s">
        <v>485</v>
      </c>
      <c r="B70" s="273">
        <f>C63*B69</f>
        <v>31.303999999999998</v>
      </c>
      <c r="C70" s="120" t="s">
        <v>19</v>
      </c>
      <c r="D70" s="365">
        <f>C63*D69</f>
        <v>31.395</v>
      </c>
      <c r="I70" s="367"/>
      <c r="R70" s="251"/>
      <c r="S70" s="251"/>
      <c r="T70" s="251"/>
      <c r="U70" s="377"/>
    </row>
    <row r="71" spans="1:21" ht="17">
      <c r="A71" s="12" t="s">
        <v>597</v>
      </c>
      <c r="B71" s="273">
        <f>2*SQRT((B70/2)^2-(B64/2)^2)</f>
        <v>30.264507529447755</v>
      </c>
      <c r="C71" s="120" t="s">
        <v>19</v>
      </c>
      <c r="D71" s="365">
        <f>2*SQRT((D70/2)^2-(B64/2)^2)</f>
        <v>30.358623568930131</v>
      </c>
      <c r="I71" s="368"/>
      <c r="R71" s="251"/>
      <c r="S71" s="251"/>
      <c r="T71" s="251"/>
      <c r="U71" s="377"/>
    </row>
    <row r="72" spans="1:21" ht="17">
      <c r="A72" s="12" t="s">
        <v>609</v>
      </c>
      <c r="B72" s="316">
        <f>(B71/B67)^2</f>
        <v>0.5990392725759226</v>
      </c>
      <c r="C72" s="120" t="s">
        <v>442</v>
      </c>
      <c r="D72" s="314">
        <f>(D71/D67)^2</f>
        <v>0.59878187821530338</v>
      </c>
      <c r="I72" s="369"/>
      <c r="R72" s="251"/>
      <c r="S72" s="251"/>
      <c r="T72" s="251"/>
      <c r="U72" s="377"/>
    </row>
    <row r="73" spans="1:21" ht="17" customHeight="1">
      <c r="B73" s="323" t="s">
        <v>613</v>
      </c>
      <c r="D73" s="327" t="s">
        <v>614</v>
      </c>
      <c r="R73" s="251"/>
      <c r="S73" s="251"/>
      <c r="T73" s="251"/>
      <c r="U73" s="377"/>
    </row>
    <row r="74" spans="1:21" ht="17">
      <c r="A74" s="12" t="s">
        <v>672</v>
      </c>
      <c r="B74" s="273">
        <f>C74*B26/B66</f>
        <v>18.692693700115573</v>
      </c>
      <c r="C74" s="462">
        <f>13.95*C63</f>
        <v>12.6945</v>
      </c>
      <c r="D74" s="179">
        <f>C74*B26/D66</f>
        <v>18.633216947433386</v>
      </c>
      <c r="R74" s="251"/>
      <c r="S74" s="251"/>
      <c r="T74" s="251"/>
      <c r="U74" s="377"/>
    </row>
    <row r="75" spans="1:21" ht="18" customHeight="1">
      <c r="A75" s="386" t="s">
        <v>645</v>
      </c>
      <c r="B75" s="272" t="str">
        <f>CONCATENATE("~ ",ROUND(B76+1.1642*(28.1957-B74)-IF(B74&lt;20,(20-B74)/G97,0)-IF(B74&lt;14,(14-B74)/H97,0)+(10-B22)/H95,1)," °")</f>
        <v>~ 110.9 °</v>
      </c>
      <c r="C75" s="12" t="s">
        <v>605</v>
      </c>
      <c r="D75" s="196" t="str">
        <f>CONCATENATE(ROUND(B76+1.1642*(28.1957-D74)-IF(D74&lt;20,(20-D74)/G97,0)-IF(D74&lt;14,(14-D74)/H97,0)+(10-B22)/H95,1)," °")</f>
        <v>111 °</v>
      </c>
      <c r="R75" s="251"/>
      <c r="S75" s="251"/>
      <c r="T75" s="251"/>
      <c r="U75" s="377"/>
    </row>
    <row r="76" spans="1:21" ht="17">
      <c r="A76" s="12" t="s">
        <v>644</v>
      </c>
      <c r="B76" s="393">
        <v>100</v>
      </c>
      <c r="C76" s="324" t="s">
        <v>632</v>
      </c>
      <c r="R76" s="251"/>
      <c r="S76" s="251"/>
      <c r="T76" s="251"/>
      <c r="U76" s="377"/>
    </row>
    <row r="77" spans="1:21" ht="16" customHeight="1">
      <c r="C77" s="335" t="s">
        <v>600</v>
      </c>
      <c r="R77" s="251"/>
      <c r="S77" s="251"/>
      <c r="T77" s="251"/>
      <c r="U77" s="377"/>
    </row>
    <row r="78" spans="1:21" ht="18" customHeight="1">
      <c r="R78" s="251"/>
      <c r="S78" s="251"/>
      <c r="T78" s="251"/>
      <c r="U78" s="377"/>
    </row>
    <row r="79" spans="1:21" ht="18">
      <c r="A79" s="285" t="s">
        <v>569</v>
      </c>
      <c r="R79" s="251"/>
      <c r="S79" s="251"/>
      <c r="T79" s="251"/>
      <c r="U79" s="377"/>
    </row>
    <row r="80" spans="1:21" ht="17">
      <c r="A80" s="12" t="s">
        <v>608</v>
      </c>
      <c r="B80" s="10">
        <v>8</v>
      </c>
      <c r="C80" s="120" t="s">
        <v>19</v>
      </c>
      <c r="D80" s="116" t="s">
        <v>599</v>
      </c>
      <c r="R80" s="251"/>
      <c r="S80" s="251"/>
      <c r="T80" s="251"/>
      <c r="U80" s="377"/>
    </row>
    <row r="81" spans="1:21" ht="17">
      <c r="A81" s="12" t="s">
        <v>570</v>
      </c>
      <c r="B81" s="322">
        <f>0.96*B65</f>
        <v>42.105599999999995</v>
      </c>
      <c r="C81" s="120" t="s">
        <v>19</v>
      </c>
      <c r="D81" s="366">
        <v>43</v>
      </c>
      <c r="R81" s="251"/>
      <c r="S81" s="251"/>
      <c r="T81" s="251"/>
      <c r="U81" s="377"/>
    </row>
    <row r="82" spans="1:21" ht="17" customHeight="1">
      <c r="A82" s="12" t="s">
        <v>484</v>
      </c>
      <c r="B82" s="286">
        <f>B81-6.5</f>
        <v>35.605599999999995</v>
      </c>
      <c r="C82" s="120" t="s">
        <v>19</v>
      </c>
      <c r="D82" s="365">
        <f>D81-6.5</f>
        <v>36.5</v>
      </c>
      <c r="R82" s="251"/>
      <c r="S82" s="251"/>
      <c r="T82" s="251"/>
      <c r="U82" s="377"/>
    </row>
    <row r="83" spans="1:21" ht="17">
      <c r="A83" s="12" t="s">
        <v>597</v>
      </c>
      <c r="B83" s="286">
        <f>2*SQRT((B82/2)^2-(B80/2)^2)</f>
        <v>34.695226636527387</v>
      </c>
      <c r="C83" s="120" t="s">
        <v>19</v>
      </c>
      <c r="D83" s="365">
        <f>2*SQRT((D82/2)^2-(B80/2)^2)</f>
        <v>35.612497806247738</v>
      </c>
      <c r="R83" s="251"/>
      <c r="S83" s="251"/>
      <c r="T83" s="251"/>
      <c r="U83" s="377"/>
    </row>
    <row r="84" spans="1:21" ht="18" thickBot="1">
      <c r="A84" s="12" t="s">
        <v>598</v>
      </c>
      <c r="B84" s="286">
        <f>B7-B81-B85</f>
        <v>10.182400000000008</v>
      </c>
      <c r="C84" s="120" t="s">
        <v>19</v>
      </c>
      <c r="D84" s="179">
        <f>B7-D81-D85</f>
        <v>8</v>
      </c>
      <c r="L84" s="263"/>
      <c r="R84" s="251"/>
      <c r="S84" s="251"/>
      <c r="T84" s="251"/>
      <c r="U84" s="377"/>
    </row>
    <row r="85" spans="1:21" ht="18" thickBot="1">
      <c r="A85" s="12" t="s">
        <v>572</v>
      </c>
      <c r="B85" s="322">
        <f>0.98*B69</f>
        <v>33.711999999999996</v>
      </c>
      <c r="C85" s="120" t="s">
        <v>19</v>
      </c>
      <c r="D85" s="366">
        <v>35</v>
      </c>
      <c r="F85" s="412"/>
      <c r="G85" s="413" t="s">
        <v>649</v>
      </c>
      <c r="H85" s="414"/>
      <c r="I85" s="418" t="s">
        <v>679</v>
      </c>
      <c r="K85" s="401" t="s">
        <v>660</v>
      </c>
      <c r="L85" s="402" t="s">
        <v>661</v>
      </c>
      <c r="R85" s="251"/>
      <c r="S85" s="251"/>
      <c r="T85" s="251"/>
      <c r="U85" s="377"/>
    </row>
    <row r="86" spans="1:21" ht="17" customHeight="1" thickBot="1">
      <c r="A86" s="12" t="s">
        <v>485</v>
      </c>
      <c r="B86" s="286">
        <f>B85-6.5</f>
        <v>27.211999999999996</v>
      </c>
      <c r="C86" s="120" t="s">
        <v>19</v>
      </c>
      <c r="D86" s="290">
        <f>D85-6.5</f>
        <v>28.5</v>
      </c>
      <c r="E86" s="385" t="str">
        <f>CONCATENATE("   K +1.164 × (28.196-Cham.cc÷ITD)")</f>
        <v xml:space="preserve">   K +1.164 × (28.196-Cham.cc÷ITD)</v>
      </c>
      <c r="F86" s="328"/>
      <c r="G86" s="415"/>
      <c r="H86" s="416"/>
      <c r="I86" s="419" t="s">
        <v>678</v>
      </c>
      <c r="J86" s="256"/>
      <c r="K86" s="403" t="s">
        <v>662</v>
      </c>
      <c r="L86" s="405">
        <v>28.195699999999999</v>
      </c>
      <c r="R86" s="251"/>
      <c r="S86" s="251"/>
      <c r="T86" s="251"/>
      <c r="U86" s="377"/>
    </row>
    <row r="87" spans="1:21" ht="18" thickBot="1">
      <c r="A87" s="12" t="s">
        <v>597</v>
      </c>
      <c r="B87" s="286">
        <f>2*SQRT((B86/2)^2-(B80/2)^2)</f>
        <v>26.00947796477276</v>
      </c>
      <c r="C87" s="120" t="s">
        <v>19</v>
      </c>
      <c r="D87" s="290">
        <f>2*SQRT((D86/2)^2-(B80/2)^2)</f>
        <v>27.354158733179862</v>
      </c>
      <c r="E87" s="324" t="s">
        <v>617</v>
      </c>
      <c r="H87" s="263"/>
      <c r="K87" s="395">
        <v>100</v>
      </c>
      <c r="L87" s="396" t="s">
        <v>653</v>
      </c>
      <c r="R87" s="251"/>
      <c r="S87" s="251"/>
      <c r="T87" s="251"/>
      <c r="U87" s="377"/>
    </row>
    <row r="88" spans="1:21" ht="16" customHeight="1">
      <c r="A88" s="12" t="s">
        <v>609</v>
      </c>
      <c r="B88" s="317">
        <f>(B87/B83)^2</f>
        <v>0.56198382212025633</v>
      </c>
      <c r="C88" s="59" t="s">
        <v>442</v>
      </c>
      <c r="D88" s="314">
        <f>(D87/D83)^2</f>
        <v>0.58998620145870306</v>
      </c>
      <c r="E88" s="383">
        <v>99</v>
      </c>
      <c r="F88" s="266" t="s">
        <v>615</v>
      </c>
      <c r="G88" s="261"/>
      <c r="H88" s="325"/>
      <c r="K88" s="397">
        <f>L86</f>
        <v>28.195699999999999</v>
      </c>
      <c r="L88" s="396" t="s">
        <v>654</v>
      </c>
      <c r="R88" s="251"/>
      <c r="S88" s="251"/>
      <c r="T88" s="251"/>
      <c r="U88" s="377"/>
    </row>
    <row r="89" spans="1:21" ht="16" customHeight="1">
      <c r="B89" s="323" t="s">
        <v>613</v>
      </c>
      <c r="D89" s="327" t="s">
        <v>614</v>
      </c>
      <c r="E89" s="383">
        <v>99</v>
      </c>
      <c r="F89" s="196" t="s">
        <v>668</v>
      </c>
      <c r="G89" s="333"/>
      <c r="H89" s="326">
        <v>127</v>
      </c>
      <c r="K89" s="395">
        <v>10</v>
      </c>
      <c r="L89" s="399" t="s">
        <v>656</v>
      </c>
      <c r="R89" s="251"/>
      <c r="S89" s="251"/>
      <c r="T89" s="251"/>
      <c r="U89" s="377"/>
    </row>
    <row r="90" spans="1:21" ht="18" customHeight="1" thickBot="1">
      <c r="A90" s="12" t="s">
        <v>672</v>
      </c>
      <c r="B90" s="286">
        <f>C90*B26/B82</f>
        <v>20.95383890666729</v>
      </c>
      <c r="C90" s="463">
        <f>C74</f>
        <v>12.6945</v>
      </c>
      <c r="D90" s="179">
        <f>C90*B26/D82</f>
        <v>20.440383741787198</v>
      </c>
      <c r="E90" s="383">
        <v>100</v>
      </c>
      <c r="F90" s="196" t="s">
        <v>669</v>
      </c>
      <c r="G90" s="333"/>
      <c r="H90" s="326">
        <v>128</v>
      </c>
      <c r="J90" s="173"/>
      <c r="K90" s="417" t="str">
        <f>CONCATENATE(" ",ROUND(K87+1.1642*(28.1957-K88)-IF(K88&lt;20,(20-K88)/G97,0)-IF(K88&lt;14,(14-K88)/H97,0)+K89-10,1)," °")</f>
        <v xml:space="preserve"> 100 °</v>
      </c>
      <c r="L90" s="399" t="s">
        <v>628</v>
      </c>
      <c r="M90" s="256"/>
      <c r="N90" s="256"/>
      <c r="O90" s="256"/>
      <c r="P90" s="256"/>
      <c r="Q90" s="256"/>
      <c r="R90" s="439"/>
      <c r="S90" s="439"/>
      <c r="T90" s="439"/>
      <c r="U90" s="440"/>
    </row>
    <row r="91" spans="1:21" ht="16" customHeight="1" thickBot="1">
      <c r="A91" s="386" t="s">
        <v>645</v>
      </c>
      <c r="B91" s="286" t="str">
        <f>CONCATENATE("~ ",ROUND(B92+1.1642*(28.1957-B90)-IF(B90&lt;20,(20-B90)/G97,0)-IF(B90&lt;14,(14-B90)/H97,0)+(10-B22)/H95,1)," °")</f>
        <v>~ 108.6 °</v>
      </c>
      <c r="C91" s="12" t="s">
        <v>605</v>
      </c>
      <c r="D91" s="179" t="str">
        <f>CONCATENATE( ROUND(B92+1.1642*(28.1957-D90)-IF(D90&lt;20,(20-D90)/G97,0)-IF(D90&lt;14,(14-D90)/H97,0)+(10-B22)/H95,1)," °")</f>
        <v>109.2 °</v>
      </c>
      <c r="E91" s="383">
        <v>104</v>
      </c>
      <c r="F91" s="196" t="s">
        <v>670</v>
      </c>
      <c r="G91" s="333"/>
      <c r="H91" s="326">
        <v>132</v>
      </c>
      <c r="I91" s="441" t="s">
        <v>675</v>
      </c>
      <c r="J91" s="442"/>
      <c r="K91" s="256"/>
      <c r="L91" s="256"/>
      <c r="M91" s="256"/>
      <c r="N91" s="264"/>
    </row>
    <row r="92" spans="1:21" ht="17" customHeight="1" thickBot="1">
      <c r="A92" s="12" t="s">
        <v>644</v>
      </c>
      <c r="B92" s="10">
        <v>100</v>
      </c>
      <c r="C92" s="324" t="s">
        <v>633</v>
      </c>
      <c r="E92" s="384">
        <v>105</v>
      </c>
      <c r="F92" s="267" t="s">
        <v>671</v>
      </c>
      <c r="G92" s="334"/>
      <c r="H92" s="326">
        <v>133</v>
      </c>
    </row>
    <row r="93" spans="1:21" ht="20" customHeight="1" thickBot="1">
      <c r="C93" s="335" t="s">
        <v>600</v>
      </c>
      <c r="D93" s="263"/>
      <c r="F93" s="330"/>
      <c r="G93" s="348" t="s">
        <v>618</v>
      </c>
      <c r="H93" s="263"/>
    </row>
    <row r="94" spans="1:21" ht="16" thickBot="1">
      <c r="A94" s="256"/>
      <c r="B94" s="256"/>
      <c r="C94" s="256"/>
      <c r="D94" s="264"/>
      <c r="F94" s="331"/>
      <c r="G94" s="349" t="s">
        <v>657</v>
      </c>
      <c r="H94" s="332"/>
    </row>
    <row r="95" spans="1:21" ht="17">
      <c r="A95" s="198" t="s">
        <v>631</v>
      </c>
      <c r="H95" s="409">
        <v>3</v>
      </c>
      <c r="I95" s="330"/>
      <c r="J95" s="122"/>
      <c r="K95" s="122"/>
    </row>
    <row r="96" spans="1:21" ht="17">
      <c r="C96" s="197" t="s">
        <v>664</v>
      </c>
      <c r="G96" s="59"/>
      <c r="H96" s="408" t="s">
        <v>680</v>
      </c>
      <c r="I96" s="330"/>
      <c r="J96" s="408"/>
      <c r="K96" s="122"/>
      <c r="L96" s="197"/>
    </row>
    <row r="97" spans="1:10" ht="18">
      <c r="A97" s="116" t="s">
        <v>646</v>
      </c>
      <c r="F97" s="406" t="s">
        <v>667</v>
      </c>
      <c r="G97" s="404">
        <v>4.32</v>
      </c>
      <c r="H97" s="409">
        <v>3.63</v>
      </c>
      <c r="I97" s="330"/>
      <c r="J97" s="409"/>
    </row>
    <row r="98" spans="1:10" ht="17">
      <c r="A98" s="198" t="s">
        <v>673</v>
      </c>
      <c r="B98" s="273"/>
      <c r="C98" s="329" t="s">
        <v>674</v>
      </c>
      <c r="D98" s="179"/>
      <c r="E98" s="329" t="s">
        <v>659</v>
      </c>
      <c r="G98" s="59" t="s">
        <v>665</v>
      </c>
      <c r="H98" s="408" t="s">
        <v>666</v>
      </c>
      <c r="I98" s="330"/>
    </row>
    <row r="99" spans="1:10" ht="17">
      <c r="A99" s="196" t="str">
        <f>CONCATENATE("K +1.1642×(28.1957─CDTD)  ─IF[CDTD&lt;20,(20─CDTD)÷",G97,",0]  ─IF[CDTD&lt;14,(14─CDTD)÷",H97,",0] +(10-CR)/",H95)</f>
        <v>K +1.1642×(28.1957─CDTD)  ─IF[CDTD&lt;20,(20─CDTD)÷4.32,0]  ─IF[CDTD&lt;14,(14─CDTD)÷3.63,0] +(10-CR)/3</v>
      </c>
      <c r="I99" s="330"/>
    </row>
    <row r="100" spans="1:10" ht="16" thickBot="1">
      <c r="A100" s="411" t="s">
        <v>677</v>
      </c>
      <c r="B100" s="256"/>
      <c r="C100" s="256"/>
      <c r="D100" s="256"/>
      <c r="E100" s="464" t="str">
        <f>CONCATENATE(ROUND(C74,3),"=",C63,"×25.4×Cyl.CID÷Chamber.cc @ 10:1 CR")</f>
        <v>12.695=0.91×25.4×Cyl.CID÷Chamber.cc @ 10:1 CR</v>
      </c>
      <c r="F100" s="256"/>
      <c r="G100" s="256"/>
      <c r="H100" s="264"/>
    </row>
  </sheetData>
  <phoneticPr fontId="36" type="noConversion"/>
  <conditionalFormatting sqref="U28:U58">
    <cfRule type="cellIs" dxfId="8" priority="1" operator="greaterThan">
      <formula>4000</formula>
    </cfRule>
    <cfRule type="cellIs" dxfId="7" priority="3" operator="greaterThan">
      <formula>4499</formula>
    </cfRule>
    <cfRule type="cellIs" dxfId="6" priority="6" operator="greaterThan">
      <formula>4500</formula>
    </cfRule>
    <cfRule type="cellIs" dxfId="5" priority="11" operator="greaterThan">
      <formula>4500</formula>
    </cfRule>
  </conditionalFormatting>
  <conditionalFormatting sqref="T28:T58">
    <cfRule type="cellIs" dxfId="4" priority="5" operator="greaterThan">
      <formula>7499</formula>
    </cfRule>
    <cfRule type="cellIs" dxfId="3" priority="8" operator="greaterThan">
      <formula>7500</formula>
    </cfRule>
    <cfRule type="cellIs" dxfId="2" priority="10" operator="greaterThan">
      <formula>7500</formula>
    </cfRule>
  </conditionalFormatting>
  <conditionalFormatting sqref="U52:U58">
    <cfRule type="cellIs" dxfId="1" priority="4" operator="greaterThan">
      <formula>4500</formula>
    </cfRule>
  </conditionalFormatting>
  <conditionalFormatting sqref="V28:V58">
    <cfRule type="cellIs" dxfId="0" priority="2" operator="greaterThan">
      <formula>5500</formula>
    </cfRule>
  </conditionalFormatting>
  <hyperlinks>
    <hyperlink ref="G25" r:id="rId1"/>
    <hyperlink ref="I25" r:id="rId2"/>
    <hyperlink ref="I26" r:id="rId3"/>
    <hyperlink ref="K26" r:id="rId4"/>
    <hyperlink ref="G24" r:id="rId5"/>
    <hyperlink ref="N19" r:id="rId6"/>
    <hyperlink ref="N22" r:id="rId7"/>
    <hyperlink ref="N24" r:id="rId8"/>
    <hyperlink ref="N25" r:id="rId9"/>
    <hyperlink ref="N23" r:id="rId10"/>
    <hyperlink ref="N20" r:id="rId11"/>
    <hyperlink ref="N26" r:id="rId12"/>
    <hyperlink ref="P26" r:id="rId13"/>
    <hyperlink ref="P28" r:id="rId14"/>
    <hyperlink ref="P29" r:id="rId15"/>
    <hyperlink ref="N30" r:id="rId16"/>
    <hyperlink ref="O30" r:id="rId17"/>
    <hyperlink ref="N21" r:id="rId18"/>
    <hyperlink ref="Q21" r:id="rId19"/>
    <hyperlink ref="R22" r:id="rId20"/>
    <hyperlink ref="P24" r:id="rId21"/>
    <hyperlink ref="D16" r:id="rId22" display="88x82"/>
    <hyperlink ref="D15" r:id="rId23" display="88x74"/>
    <hyperlink ref="D18" r:id="rId24" display="92x86"/>
    <hyperlink ref="D19" r:id="rId25"/>
    <hyperlink ref="D17" r:id="rId26" display="92×86"/>
  </hyperlinks>
  <pageMargins left="1" right="1" top="1.6666666666666667" bottom="1.6666666666666667" header="1" footer="1"/>
  <pageSetup firstPageNumber="4294967295" fitToWidth="0" fitToHeight="0" orientation="portrait" cellComments="asDisplayed"/>
  <headerFooter>
    <oddHeader>&amp;L&amp;C&amp;[TAB]&amp;R</oddHeader>
    <oddFooter>&amp;L&amp;CPage &amp;[PAGE]&amp;R</oddFooter>
  </headerFooter>
  <rowBreaks count="1" manualBreakCount="1">
    <brk id="30" max="16383" man="1"/>
  </rowBreaks>
  <colBreaks count="2" manualBreakCount="2">
    <brk id="3" max="1048575" man="1"/>
    <brk id="17" max="1048575" man="1"/>
  </colBreaks>
  <drawing r:id="rId27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01"/>
  <sheetViews>
    <sheetView zoomScale="125" zoomScaleNormal="125" zoomScalePageLayoutView="125" workbookViewId="0"/>
  </sheetViews>
  <sheetFormatPr baseColWidth="10" defaultRowHeight="17" x14ac:dyDescent="0"/>
  <cols>
    <col min="1" max="1" width="9.28515625" style="90" customWidth="1"/>
    <col min="2" max="2" width="7.42578125" style="90" customWidth="1"/>
    <col min="3" max="3" width="9.5703125" style="90" customWidth="1"/>
    <col min="4" max="4" width="10.7109375" style="90"/>
    <col min="5" max="5" width="10.7109375" style="90" customWidth="1"/>
    <col min="6" max="6" width="14" style="90" customWidth="1"/>
    <col min="7" max="7" width="10.7109375" style="90"/>
    <col min="8" max="8" width="11.140625" style="90" customWidth="1"/>
    <col min="9" max="10" width="10.7109375" style="90"/>
    <col min="11" max="11" width="20.28515625" style="90" customWidth="1"/>
    <col min="12" max="12" width="11" style="90" customWidth="1"/>
    <col min="13" max="13" width="11.42578125" style="90" customWidth="1"/>
    <col min="14" max="14" width="8.28515625" style="90" customWidth="1"/>
    <col min="15" max="16384" width="10.7109375" style="90"/>
  </cols>
  <sheetData>
    <row r="2" spans="1:12" ht="21">
      <c r="B2" s="269" t="s">
        <v>606</v>
      </c>
      <c r="G2" s="154">
        <f>G3/25.4</f>
        <v>3.3858267716535435</v>
      </c>
      <c r="H2" s="152" t="s">
        <v>448</v>
      </c>
    </row>
    <row r="3" spans="1:12">
      <c r="A3" s="90" t="s">
        <v>498</v>
      </c>
      <c r="F3" s="12" t="s">
        <v>89</v>
      </c>
      <c r="G3" s="155">
        <f>'Displacement &amp; Cam Protractor'!B7</f>
        <v>86</v>
      </c>
      <c r="H3" s="93">
        <f>PI()*G3^2*G4/4000</f>
        <v>499.55721421792737</v>
      </c>
      <c r="I3" s="11" t="s">
        <v>1</v>
      </c>
    </row>
    <row r="4" spans="1:12">
      <c r="B4" s="40" t="s">
        <v>32</v>
      </c>
      <c r="F4" s="12" t="s">
        <v>90</v>
      </c>
      <c r="G4" s="155">
        <f>'Displacement &amp; Cam Protractor'!B8</f>
        <v>86</v>
      </c>
      <c r="H4" s="151">
        <f>'Displacement &amp; Cam Protractor'!C8</f>
        <v>30.484851601112158</v>
      </c>
      <c r="I4" s="11" t="s">
        <v>0</v>
      </c>
    </row>
    <row r="5" spans="1:12">
      <c r="G5" s="154">
        <f>G4/25.4</f>
        <v>3.3858267716535435</v>
      </c>
      <c r="H5" s="152" t="s">
        <v>448</v>
      </c>
    </row>
    <row r="7" spans="1:12">
      <c r="B7" s="188" t="s">
        <v>506</v>
      </c>
      <c r="F7" s="12" t="s">
        <v>22</v>
      </c>
      <c r="G7" s="155">
        <f>'Displacement &amp; Cam Protractor'!$B$13</f>
        <v>5</v>
      </c>
      <c r="K7" s="180"/>
      <c r="L7" s="181"/>
    </row>
    <row r="8" spans="1:12">
      <c r="A8" s="10">
        <v>14.696</v>
      </c>
      <c r="B8" s="91" t="s">
        <v>510</v>
      </c>
      <c r="F8" s="149" t="s">
        <v>447</v>
      </c>
      <c r="G8" s="156">
        <f>'Displacement &amp; Cam Protractor'!B14</f>
        <v>152.4242580055608</v>
      </c>
      <c r="H8" s="90" t="str">
        <f>'Displacement &amp; Cam Protractor'!C14</f>
        <v>in³</v>
      </c>
    </row>
    <row r="9" spans="1:12">
      <c r="A9" s="4">
        <v>3</v>
      </c>
      <c r="B9" s="91" t="s">
        <v>577</v>
      </c>
      <c r="C9" s="10"/>
      <c r="K9" s="182"/>
    </row>
    <row r="10" spans="1:12">
      <c r="A10" s="4">
        <v>0.73499999999999999</v>
      </c>
      <c r="B10" s="91" t="s">
        <v>578</v>
      </c>
      <c r="L10" s="183"/>
    </row>
    <row r="11" spans="1:12">
      <c r="A11" s="187">
        <f>0.491154055*A10</f>
        <v>0.36099823042499996</v>
      </c>
      <c r="B11" s="91" t="str">
        <f>CONCATENATE("∆PSI @ ",A10,"''/hg  Pressure Drop")</f>
        <v>∆PSI @ 0.735''/hg  Pressure Drop</v>
      </c>
      <c r="G11" s="152" t="s">
        <v>497</v>
      </c>
      <c r="J11" s="90" t="str">
        <f>CONCATENATE("Port MCA Dia"" = RPM × Bore² × Stroke / ",H18)</f>
        <v>Port MCA Dia" = RPM × Bore² × Stroke / 173881</v>
      </c>
      <c r="L11" s="183"/>
    </row>
    <row r="12" spans="1:12">
      <c r="A12" s="457">
        <v>0.92</v>
      </c>
      <c r="B12" s="91" t="s">
        <v>503</v>
      </c>
      <c r="G12" s="189">
        <v>173881</v>
      </c>
      <c r="H12" s="90" t="s">
        <v>494</v>
      </c>
      <c r="J12" s="90" t="s">
        <v>695</v>
      </c>
    </row>
    <row r="13" spans="1:12" ht="16" customHeight="1">
      <c r="A13" s="177">
        <v>371.95</v>
      </c>
      <c r="B13" s="91" t="s">
        <v>501</v>
      </c>
      <c r="G13" s="192">
        <f>(G12+G14)/2</f>
        <v>175830.5</v>
      </c>
      <c r="H13" s="193" t="s">
        <v>502</v>
      </c>
    </row>
    <row r="14" spans="1:12">
      <c r="A14" s="148">
        <f>A13*A12*(A8/14.696)*((29.921-A9)/29.921)*((29.921+A9-A10)/29.921)</f>
        <v>331.19088608342156</v>
      </c>
      <c r="B14" s="91" t="s">
        <v>579</v>
      </c>
      <c r="G14" s="190">
        <v>177780</v>
      </c>
      <c r="H14" s="90" t="s">
        <v>486</v>
      </c>
      <c r="I14" s="90" t="s">
        <v>457</v>
      </c>
    </row>
    <row r="15" spans="1:12">
      <c r="A15" s="194">
        <f>A14/A13</f>
        <v>0.89041776067595524</v>
      </c>
      <c r="B15" s="91" t="s">
        <v>509</v>
      </c>
      <c r="G15" s="78">
        <v>195558</v>
      </c>
      <c r="H15" s="90" t="s">
        <v>487</v>
      </c>
      <c r="I15" s="78" t="s">
        <v>493</v>
      </c>
    </row>
    <row r="16" spans="1:12">
      <c r="A16" s="4">
        <v>1.84</v>
      </c>
      <c r="B16" s="45" t="s">
        <v>505</v>
      </c>
      <c r="G16" s="78">
        <v>184136</v>
      </c>
      <c r="H16" s="90" t="s">
        <v>488</v>
      </c>
      <c r="I16" s="90" t="s">
        <v>455</v>
      </c>
    </row>
    <row r="17" spans="1:34" ht="18" customHeight="1">
      <c r="A17" s="93">
        <f>A14/A16</f>
        <v>179.99504678446823</v>
      </c>
      <c r="B17" s="152" t="s">
        <v>504</v>
      </c>
      <c r="C17" s="184"/>
      <c r="G17" s="250" t="s">
        <v>576</v>
      </c>
    </row>
    <row r="18" spans="1:34">
      <c r="A18" s="195">
        <f>14.696*3456*A14/(A20*G8)/A8</f>
        <v>1.2947026227084595</v>
      </c>
      <c r="B18" s="152" t="s">
        <v>499</v>
      </c>
      <c r="E18" s="78"/>
      <c r="G18" s="149" t="s">
        <v>496</v>
      </c>
      <c r="H18" s="10">
        <v>173881</v>
      </c>
      <c r="J18" s="191"/>
    </row>
    <row r="19" spans="1:34">
      <c r="A19" s="151">
        <f>A8*A18-A8</f>
        <v>4.3309497433235205</v>
      </c>
      <c r="B19" s="91" t="s">
        <v>500</v>
      </c>
      <c r="G19" s="149" t="s">
        <v>694</v>
      </c>
      <c r="H19" s="456">
        <v>0.92</v>
      </c>
      <c r="I19" s="153"/>
      <c r="K19" s="226">
        <v>10</v>
      </c>
      <c r="L19" s="199" t="s">
        <v>512</v>
      </c>
      <c r="M19" s="222" t="s">
        <v>567</v>
      </c>
    </row>
    <row r="20" spans="1:34">
      <c r="A20" s="177">
        <v>5800</v>
      </c>
      <c r="B20" s="185" t="s">
        <v>589</v>
      </c>
      <c r="E20" s="78"/>
      <c r="G20" s="149" t="s">
        <v>450</v>
      </c>
      <c r="H20" s="93">
        <f>H19*H4</f>
        <v>28.046063473023185</v>
      </c>
      <c r="I20" s="11" t="s">
        <v>0</v>
      </c>
      <c r="K20" s="200">
        <f>0.073482424*K19</f>
        <v>0.73482424000000002</v>
      </c>
      <c r="L20" s="201" t="s">
        <v>513</v>
      </c>
      <c r="M20" s="222" t="s">
        <v>566</v>
      </c>
    </row>
    <row r="21" spans="1:34">
      <c r="A21" s="78" t="s">
        <v>588</v>
      </c>
      <c r="B21" s="78"/>
      <c r="K21" s="202">
        <f>0.0360911905188293*K19</f>
        <v>0.36091190518829303</v>
      </c>
      <c r="L21" s="201" t="s">
        <v>514</v>
      </c>
      <c r="M21" s="238">
        <f>SQRT(K22/K19)</f>
        <v>1.4287422658195337</v>
      </c>
    </row>
    <row r="22" spans="1:34" ht="18" thickBot="1">
      <c r="A22" s="276">
        <f>$H$18*F22/$G$2^2/$G$5</f>
        <v>6896.5227373742464</v>
      </c>
      <c r="B22" s="277" t="s">
        <v>58</v>
      </c>
      <c r="C22" s="273">
        <f>$A$8*$G$8*A22*$A$18/3456/14.696</f>
        <v>393.80439246300699</v>
      </c>
      <c r="D22" s="273">
        <f>C22/$A$16</f>
        <v>214.02412633859075</v>
      </c>
      <c r="E22" s="278" t="s">
        <v>571</v>
      </c>
      <c r="F22" s="279">
        <f>G22/25.4</f>
        <v>1.5394736048519833</v>
      </c>
      <c r="G22" s="280">
        <f>'Displacement &amp; Cam Protractor'!$B$67</f>
        <v>39.10262956324037</v>
      </c>
      <c r="H22" s="280">
        <f>$H$19*$H$4/(PI()*(F22/2)^2)</f>
        <v>15.067372912929249</v>
      </c>
      <c r="I22" s="280">
        <f t="shared" ref="I22" si="0">2.54*H22</f>
        <v>38.271127198840297</v>
      </c>
      <c r="J22" s="188" t="s">
        <v>685</v>
      </c>
      <c r="K22" s="305">
        <f>13.6086964142609*K23</f>
        <v>20.41304462139135</v>
      </c>
      <c r="L22" s="306" t="s">
        <v>512</v>
      </c>
      <c r="M22" s="222" t="s">
        <v>568</v>
      </c>
      <c r="N22" s="207"/>
      <c r="AG22" s="228"/>
    </row>
    <row r="23" spans="1:34" ht="17" customHeight="1" thickBot="1">
      <c r="A23" s="295">
        <f>$H$18*F23/$G$2^2/$G$5</f>
        <v>6525.0471539556247</v>
      </c>
      <c r="B23" s="296" t="s">
        <v>58</v>
      </c>
      <c r="C23" s="57">
        <f>$A$8*$G$8*A23*$A$18/3456/14.696</f>
        <v>372.59243942321922</v>
      </c>
      <c r="D23" s="57">
        <f>C23/$A$16</f>
        <v>202.49589099088001</v>
      </c>
      <c r="E23" s="300" t="s">
        <v>571</v>
      </c>
      <c r="F23" s="291">
        <f>G23/25.4</f>
        <v>1.4565511122716583</v>
      </c>
      <c r="G23" s="319">
        <f>J23*'Displacement &amp; Cam Protractor'!$D$67</f>
        <v>36.996398251700121</v>
      </c>
      <c r="H23" s="292">
        <f>$H$19*$H$4/(PI()*(F23/2)^2)</f>
        <v>16.831800416199428</v>
      </c>
      <c r="I23" s="292">
        <f t="shared" ref="I23" si="1">2.54*H23</f>
        <v>42.752773057146548</v>
      </c>
      <c r="J23" s="4">
        <v>0.94299999999999995</v>
      </c>
      <c r="K23" s="210">
        <v>1.5</v>
      </c>
      <c r="L23" s="201" t="s">
        <v>513</v>
      </c>
      <c r="N23" s="222"/>
      <c r="AG23" s="228"/>
      <c r="AH23" s="90">
        <v>0</v>
      </c>
    </row>
    <row r="24" spans="1:34" ht="16" customHeight="1">
      <c r="A24" s="78" t="s">
        <v>588</v>
      </c>
      <c r="B24" s="299"/>
      <c r="G24" s="268" t="s">
        <v>590</v>
      </c>
      <c r="K24" s="307">
        <f>0.491154055*K23</f>
        <v>0.73673108249999997</v>
      </c>
      <c r="L24" s="308" t="s">
        <v>514</v>
      </c>
      <c r="N24" s="222"/>
    </row>
    <row r="25" spans="1:34" ht="18" thickBot="1">
      <c r="A25" s="297">
        <f>$H$18*F25/$G$2^2/$G$5</f>
        <v>6119.1899892610518</v>
      </c>
      <c r="B25" s="298" t="s">
        <v>58</v>
      </c>
      <c r="C25" s="286">
        <f>$A$8*$G$8*A25*$A$18/3456/14.696</f>
        <v>349.41723356140869</v>
      </c>
      <c r="D25" s="286">
        <f>C25/$A$16</f>
        <v>189.90067041380905</v>
      </c>
      <c r="E25" s="287" t="s">
        <v>569</v>
      </c>
      <c r="F25" s="288">
        <f>G25/25.4</f>
        <v>1.3659538045876924</v>
      </c>
      <c r="G25" s="289">
        <f>'Displacement &amp; Cam Protractor'!$B$83</f>
        <v>34.695226636527387</v>
      </c>
      <c r="H25" s="289">
        <f>$H$19*$H$4/(PI()*(F25/2)^2)</f>
        <v>19.138593005341946</v>
      </c>
      <c r="I25" s="289">
        <f t="shared" ref="I25" si="2">2.54*H25</f>
        <v>48.612026233568542</v>
      </c>
      <c r="J25" s="188" t="s">
        <v>685</v>
      </c>
      <c r="K25" s="304">
        <f>A8</f>
        <v>14.696</v>
      </c>
      <c r="L25" s="198" t="s">
        <v>515</v>
      </c>
      <c r="M25" s="211"/>
      <c r="N25" s="222"/>
    </row>
    <row r="26" spans="1:34" ht="17" customHeight="1" thickBot="1">
      <c r="A26" s="293">
        <f>$H$18*F26/$G$2^2/$G$5</f>
        <v>6255.8450412250177</v>
      </c>
      <c r="B26" s="294" t="s">
        <v>58</v>
      </c>
      <c r="C26" s="57">
        <f>$A$8*$G$8*A26*$A$18/3456/14.696</f>
        <v>357.22049351791242</v>
      </c>
      <c r="D26" s="57">
        <f>C26/$A$16</f>
        <v>194.14157256408282</v>
      </c>
      <c r="E26" s="300" t="s">
        <v>569</v>
      </c>
      <c r="F26" s="291">
        <f>G26/25.4</f>
        <v>1.3964585753945964</v>
      </c>
      <c r="G26" s="319">
        <f>J26*'Displacement &amp; Cam Protractor'!$D$83</f>
        <v>35.470047815022745</v>
      </c>
      <c r="H26" s="292">
        <f>$H$19*$H$4/(PI()*(F26/2)^2)</f>
        <v>18.311584129954657</v>
      </c>
      <c r="I26" s="292">
        <f t="shared" ref="I26" si="3">2.54*H26</f>
        <v>46.511423690084825</v>
      </c>
      <c r="J26" s="4">
        <v>0.996</v>
      </c>
      <c r="K26" s="203">
        <v>266</v>
      </c>
      <c r="L26" s="196" t="str">
        <f>CONCATENATE("CFM @ ",ROUND(K19,3)," in/H₂O")</f>
        <v>CFM @ 10 in/H₂O</v>
      </c>
      <c r="M26" s="212"/>
      <c r="N26" s="222"/>
    </row>
    <row r="27" spans="1:34">
      <c r="K27" s="204">
        <f>SQRT(K22/K19)*K26</f>
        <v>380.04544270799596</v>
      </c>
      <c r="L27" s="205" t="str">
        <f>CONCATENATE("CFM @ ",ROUND(K23,1)," in/hg")</f>
        <v>CFM @ 1.5 in/hg</v>
      </c>
      <c r="M27" s="206"/>
      <c r="N27" s="222"/>
    </row>
    <row r="28" spans="1:34">
      <c r="A28" s="15" t="s">
        <v>433</v>
      </c>
      <c r="C28" s="11" t="s">
        <v>443</v>
      </c>
      <c r="F28" s="92" t="s">
        <v>562</v>
      </c>
      <c r="H28" s="91" t="s">
        <v>453</v>
      </c>
      <c r="N28" s="222"/>
    </row>
    <row r="29" spans="1:34">
      <c r="A29" s="10">
        <v>100</v>
      </c>
      <c r="C29" s="15" t="s">
        <v>446</v>
      </c>
      <c r="D29" s="1"/>
      <c r="F29" s="92" t="s">
        <v>561</v>
      </c>
      <c r="H29" s="152" t="s">
        <v>445</v>
      </c>
      <c r="K29" s="209">
        <f>27.7075925073263*K31</f>
        <v>20.413568779772653</v>
      </c>
      <c r="L29" s="199" t="s">
        <v>512</v>
      </c>
      <c r="N29" s="222"/>
    </row>
    <row r="30" spans="1:34">
      <c r="A30" s="15" t="s">
        <v>58</v>
      </c>
      <c r="C30" s="15" t="s">
        <v>434</v>
      </c>
      <c r="D30" s="15" t="s">
        <v>2</v>
      </c>
      <c r="F30" s="92" t="s">
        <v>59</v>
      </c>
      <c r="G30" s="92" t="s">
        <v>19</v>
      </c>
      <c r="H30" s="92" t="s">
        <v>59</v>
      </c>
      <c r="I30" s="92" t="s">
        <v>444</v>
      </c>
      <c r="K30" s="227">
        <f>2.03602106064257*K31</f>
        <v>1.5000385164284133</v>
      </c>
      <c r="L30" s="201" t="s">
        <v>513</v>
      </c>
      <c r="N30" s="197"/>
    </row>
    <row r="31" spans="1:34">
      <c r="A31" s="34">
        <v>1000</v>
      </c>
      <c r="C31" s="7">
        <f t="shared" ref="C31:C62" si="4">$A$8*$G$8*A31*$A$18/3456/14.696</f>
        <v>57.101876910934735</v>
      </c>
      <c r="D31" s="7">
        <f t="shared" ref="D31:D62" si="5">C31/$A$16</f>
        <v>31.033628755942789</v>
      </c>
      <c r="F31" s="147">
        <f t="shared" ref="F31:F62" si="6">A31*$G$2^2*$G$5/$H$18</f>
        <v>0.22322461093459919</v>
      </c>
      <c r="G31" s="93">
        <f>F31*25.4</f>
        <v>5.6699051177388196</v>
      </c>
      <c r="H31" s="93">
        <f t="shared" ref="H31:H62" si="7">$H$19*$H$4/(PI()*(F31/2)^2)</f>
        <v>716.63478023428377</v>
      </c>
      <c r="I31" s="93">
        <f>2.54*H31</f>
        <v>1820.2523417950808</v>
      </c>
      <c r="K31" s="232">
        <v>0.73675000000000002</v>
      </c>
      <c r="L31" s="208" t="s">
        <v>514</v>
      </c>
      <c r="M31" s="184"/>
      <c r="N31" s="198"/>
    </row>
    <row r="32" spans="1:34">
      <c r="A32" s="34">
        <f t="shared" ref="A32:A63" si="8">$A$29+A31</f>
        <v>1100</v>
      </c>
      <c r="C32" s="68">
        <f t="shared" si="4"/>
        <v>62.812064602028215</v>
      </c>
      <c r="D32" s="7">
        <f t="shared" si="5"/>
        <v>34.136991631537072</v>
      </c>
      <c r="F32" s="147">
        <f t="shared" si="6"/>
        <v>0.24554707202805914</v>
      </c>
      <c r="G32" s="93">
        <f t="shared" ref="G32:G95" si="9">F32*25.4</f>
        <v>6.236895629512702</v>
      </c>
      <c r="H32" s="93">
        <f t="shared" si="7"/>
        <v>592.26014895395338</v>
      </c>
      <c r="I32" s="93">
        <f t="shared" ref="I32:I95" si="10">2.54*H32</f>
        <v>1504.3407783430416</v>
      </c>
      <c r="M32" s="78"/>
    </row>
    <row r="33" spans="1:18">
      <c r="A33" s="34">
        <f t="shared" si="8"/>
        <v>1200</v>
      </c>
      <c r="C33" s="68">
        <f t="shared" si="4"/>
        <v>68.522252293121696</v>
      </c>
      <c r="D33" s="7">
        <f t="shared" si="5"/>
        <v>37.240354507131357</v>
      </c>
      <c r="F33" s="147">
        <f t="shared" si="6"/>
        <v>0.26786953312151907</v>
      </c>
      <c r="G33" s="93">
        <f t="shared" si="9"/>
        <v>6.8038861412865836</v>
      </c>
      <c r="H33" s="93">
        <f t="shared" si="7"/>
        <v>497.66304182936358</v>
      </c>
      <c r="I33" s="93">
        <f t="shared" si="10"/>
        <v>1264.0641262465836</v>
      </c>
      <c r="K33" s="214"/>
      <c r="L33" s="215" t="s">
        <v>434</v>
      </c>
      <c r="M33" s="215" t="s">
        <v>434</v>
      </c>
      <c r="N33" s="216"/>
      <c r="O33" s="215" t="s">
        <v>556</v>
      </c>
      <c r="P33" s="216"/>
      <c r="Q33" s="216"/>
      <c r="R33" s="217"/>
    </row>
    <row r="34" spans="1:18" s="240" customFormat="1" ht="19" customHeight="1">
      <c r="A34" s="34">
        <f t="shared" si="8"/>
        <v>1300</v>
      </c>
      <c r="B34" s="90"/>
      <c r="C34" s="68">
        <f t="shared" si="4"/>
        <v>74.232439984215162</v>
      </c>
      <c r="D34" s="7">
        <f t="shared" si="5"/>
        <v>40.343717382725629</v>
      </c>
      <c r="E34" s="90"/>
      <c r="F34" s="147">
        <f t="shared" si="6"/>
        <v>0.29019199421497899</v>
      </c>
      <c r="G34" s="93">
        <f t="shared" si="9"/>
        <v>7.3708766530604661</v>
      </c>
      <c r="H34" s="93">
        <f t="shared" si="7"/>
        <v>424.04424865933947</v>
      </c>
      <c r="I34" s="93">
        <f t="shared" si="10"/>
        <v>1077.0723915947224</v>
      </c>
      <c r="K34" s="244" t="s">
        <v>446</v>
      </c>
      <c r="L34" s="245" t="s">
        <v>516</v>
      </c>
      <c r="M34" s="245" t="s">
        <v>565</v>
      </c>
      <c r="N34" s="246"/>
      <c r="O34" s="111" t="s">
        <v>557</v>
      </c>
      <c r="P34" s="247"/>
      <c r="Q34" s="247"/>
      <c r="R34" s="248"/>
    </row>
    <row r="35" spans="1:18">
      <c r="A35" s="34">
        <f t="shared" si="8"/>
        <v>1400</v>
      </c>
      <c r="C35" s="68">
        <f t="shared" si="4"/>
        <v>79.942627675308643</v>
      </c>
      <c r="D35" s="7">
        <f t="shared" si="5"/>
        <v>43.447080258319914</v>
      </c>
      <c r="F35" s="147">
        <f t="shared" si="6"/>
        <v>0.31251445530843891</v>
      </c>
      <c r="G35" s="93">
        <f t="shared" si="9"/>
        <v>7.9378671648343477</v>
      </c>
      <c r="H35" s="93">
        <f t="shared" si="7"/>
        <v>365.62998991545084</v>
      </c>
      <c r="I35" s="93">
        <f t="shared" si="10"/>
        <v>928.70017438524519</v>
      </c>
      <c r="K35" s="219" t="s">
        <v>522</v>
      </c>
      <c r="L35" s="220">
        <v>47</v>
      </c>
      <c r="M35" s="220">
        <f>1.4287757*L35</f>
        <v>67.152457900000002</v>
      </c>
      <c r="N35" s="221" t="s">
        <v>526</v>
      </c>
      <c r="O35" s="207"/>
      <c r="P35" s="207"/>
      <c r="Q35" s="207"/>
      <c r="R35" s="218"/>
    </row>
    <row r="36" spans="1:18">
      <c r="A36" s="34">
        <f t="shared" si="8"/>
        <v>1500</v>
      </c>
      <c r="C36" s="68">
        <f t="shared" si="4"/>
        <v>85.652815366402123</v>
      </c>
      <c r="D36" s="7">
        <f t="shared" si="5"/>
        <v>46.550443133914193</v>
      </c>
      <c r="F36" s="147">
        <f t="shared" si="6"/>
        <v>0.33483691640189883</v>
      </c>
      <c r="G36" s="93">
        <f t="shared" si="9"/>
        <v>8.5048576766082302</v>
      </c>
      <c r="H36" s="93">
        <f t="shared" si="7"/>
        <v>318.50434677079272</v>
      </c>
      <c r="I36" s="93">
        <f t="shared" si="10"/>
        <v>809.00104079781352</v>
      </c>
      <c r="K36" s="219" t="s">
        <v>523</v>
      </c>
      <c r="L36" s="220">
        <v>58</v>
      </c>
      <c r="M36" s="220">
        <f t="shared" ref="M36:M62" si="11">1.4287757*L36</f>
        <v>82.868990600000004</v>
      </c>
      <c r="N36" s="221" t="s">
        <v>517</v>
      </c>
      <c r="O36" s="207"/>
      <c r="P36" s="207"/>
      <c r="Q36" s="207"/>
      <c r="R36" s="218"/>
    </row>
    <row r="37" spans="1:18">
      <c r="A37" s="34">
        <f t="shared" si="8"/>
        <v>1600</v>
      </c>
      <c r="C37" s="68">
        <f t="shared" si="4"/>
        <v>91.36300305749559</v>
      </c>
      <c r="D37" s="7">
        <f t="shared" si="5"/>
        <v>49.653806009508472</v>
      </c>
      <c r="F37" s="147">
        <f t="shared" si="6"/>
        <v>0.35715937749535875</v>
      </c>
      <c r="G37" s="93">
        <f t="shared" si="9"/>
        <v>9.0718481883821127</v>
      </c>
      <c r="H37" s="93">
        <f t="shared" si="7"/>
        <v>279.93546102901701</v>
      </c>
      <c r="I37" s="93">
        <f t="shared" si="10"/>
        <v>711.03607101370324</v>
      </c>
      <c r="K37" s="219" t="s">
        <v>524</v>
      </c>
      <c r="L37" s="220">
        <v>52</v>
      </c>
      <c r="M37" s="220">
        <f t="shared" si="11"/>
        <v>74.296336400000001</v>
      </c>
      <c r="N37" s="221" t="s">
        <v>518</v>
      </c>
      <c r="O37" s="207"/>
      <c r="P37" s="207"/>
      <c r="Q37" s="207"/>
      <c r="R37" s="218"/>
    </row>
    <row r="38" spans="1:18">
      <c r="A38" s="34">
        <f t="shared" si="8"/>
        <v>1700</v>
      </c>
      <c r="C38" s="68">
        <f t="shared" si="4"/>
        <v>97.073190748589056</v>
      </c>
      <c r="D38" s="7">
        <f t="shared" si="5"/>
        <v>52.757168885102743</v>
      </c>
      <c r="F38" s="147">
        <f t="shared" si="6"/>
        <v>0.37948183858881868</v>
      </c>
      <c r="G38" s="93">
        <f t="shared" si="9"/>
        <v>9.6388387001559934</v>
      </c>
      <c r="H38" s="93">
        <f t="shared" si="7"/>
        <v>247.97051219179363</v>
      </c>
      <c r="I38" s="93">
        <f t="shared" si="10"/>
        <v>629.84510096715587</v>
      </c>
      <c r="K38" s="219" t="s">
        <v>525</v>
      </c>
      <c r="L38" s="220">
        <v>64</v>
      </c>
      <c r="M38" s="220">
        <f t="shared" si="11"/>
        <v>91.441644800000006</v>
      </c>
      <c r="N38" s="221" t="s">
        <v>520</v>
      </c>
      <c r="O38" s="207"/>
      <c r="P38" s="207"/>
      <c r="Q38" s="207"/>
      <c r="R38" s="218"/>
    </row>
    <row r="39" spans="1:18">
      <c r="A39" s="239">
        <f t="shared" si="8"/>
        <v>1800</v>
      </c>
      <c r="B39" s="240"/>
      <c r="C39" s="241">
        <f t="shared" si="4"/>
        <v>102.78337843968254</v>
      </c>
      <c r="D39" s="241">
        <f t="shared" si="5"/>
        <v>55.860531760697029</v>
      </c>
      <c r="E39" s="240"/>
      <c r="F39" s="242">
        <f t="shared" si="6"/>
        <v>0.4018042996822786</v>
      </c>
      <c r="G39" s="243">
        <f t="shared" si="9"/>
        <v>10.205829211929876</v>
      </c>
      <c r="H39" s="243">
        <f t="shared" si="7"/>
        <v>221.18357414638382</v>
      </c>
      <c r="I39" s="243">
        <f t="shared" si="10"/>
        <v>561.80627833181495</v>
      </c>
      <c r="K39" s="219" t="s">
        <v>521</v>
      </c>
      <c r="L39" s="220">
        <v>53</v>
      </c>
      <c r="M39" s="220">
        <f t="shared" si="11"/>
        <v>75.725112100000004</v>
      </c>
      <c r="N39" s="221" t="s">
        <v>519</v>
      </c>
      <c r="O39" s="207"/>
      <c r="P39" s="207"/>
      <c r="Q39" s="207"/>
      <c r="R39" s="218"/>
    </row>
    <row r="40" spans="1:18">
      <c r="A40" s="34">
        <f t="shared" si="8"/>
        <v>1900</v>
      </c>
      <c r="C40" s="68">
        <f t="shared" si="4"/>
        <v>108.49356613077603</v>
      </c>
      <c r="D40" s="7">
        <f t="shared" si="5"/>
        <v>58.963894636291322</v>
      </c>
      <c r="F40" s="147">
        <f t="shared" si="6"/>
        <v>0.42412676077573852</v>
      </c>
      <c r="G40" s="93">
        <f t="shared" si="9"/>
        <v>10.772819723703758</v>
      </c>
      <c r="H40" s="93">
        <f t="shared" si="7"/>
        <v>198.51378953858273</v>
      </c>
      <c r="I40" s="93">
        <f t="shared" si="10"/>
        <v>504.22502542800015</v>
      </c>
      <c r="K40" s="219" t="s">
        <v>521</v>
      </c>
      <c r="L40" s="220">
        <v>64</v>
      </c>
      <c r="M40" s="220">
        <f t="shared" si="11"/>
        <v>91.441644800000006</v>
      </c>
      <c r="N40" s="221" t="s">
        <v>527</v>
      </c>
      <c r="O40" s="207"/>
      <c r="P40" s="207"/>
      <c r="Q40" s="207"/>
      <c r="R40" s="218"/>
    </row>
    <row r="41" spans="1:18">
      <c r="A41" s="34">
        <f t="shared" si="8"/>
        <v>2000</v>
      </c>
      <c r="C41" s="68">
        <f t="shared" si="4"/>
        <v>114.20375382186947</v>
      </c>
      <c r="D41" s="7">
        <f t="shared" si="5"/>
        <v>62.067257511885579</v>
      </c>
      <c r="F41" s="147">
        <f t="shared" si="6"/>
        <v>0.44644922186919839</v>
      </c>
      <c r="G41" s="93">
        <f t="shared" si="9"/>
        <v>11.339810235477639</v>
      </c>
      <c r="H41" s="93">
        <f t="shared" si="7"/>
        <v>179.15869505857094</v>
      </c>
      <c r="I41" s="93">
        <f t="shared" si="10"/>
        <v>455.06308544877021</v>
      </c>
      <c r="K41" s="219" t="s">
        <v>528</v>
      </c>
      <c r="L41" s="220">
        <v>80</v>
      </c>
      <c r="M41" s="220">
        <f t="shared" si="11"/>
        <v>114.30205600000001</v>
      </c>
      <c r="N41" s="221" t="s">
        <v>529</v>
      </c>
      <c r="O41" s="207"/>
      <c r="P41" s="207"/>
      <c r="Q41" s="207"/>
      <c r="R41" s="218"/>
    </row>
    <row r="42" spans="1:18">
      <c r="A42" s="34">
        <f t="shared" si="8"/>
        <v>2100</v>
      </c>
      <c r="C42" s="68">
        <f t="shared" si="4"/>
        <v>119.91394151296295</v>
      </c>
      <c r="D42" s="7">
        <f t="shared" si="5"/>
        <v>65.170620387479858</v>
      </c>
      <c r="F42" s="147">
        <f t="shared" si="6"/>
        <v>0.46877168296265831</v>
      </c>
      <c r="G42" s="93">
        <f t="shared" si="9"/>
        <v>11.90680074725152</v>
      </c>
      <c r="H42" s="93">
        <f t="shared" si="7"/>
        <v>162.50221774020039</v>
      </c>
      <c r="I42" s="93">
        <f t="shared" si="10"/>
        <v>412.75563306010901</v>
      </c>
      <c r="K42" s="219" t="s">
        <v>530</v>
      </c>
      <c r="L42" s="220">
        <v>58</v>
      </c>
      <c r="M42" s="220">
        <f t="shared" si="11"/>
        <v>82.868990600000004</v>
      </c>
      <c r="N42" s="221" t="s">
        <v>520</v>
      </c>
      <c r="O42" s="207"/>
      <c r="P42" s="207"/>
      <c r="Q42" s="207"/>
      <c r="R42" s="218"/>
    </row>
    <row r="43" spans="1:18">
      <c r="A43" s="34">
        <f t="shared" si="8"/>
        <v>2200</v>
      </c>
      <c r="C43" s="68">
        <f t="shared" si="4"/>
        <v>125.62412920405643</v>
      </c>
      <c r="D43" s="7">
        <f t="shared" si="5"/>
        <v>68.273983263074143</v>
      </c>
      <c r="F43" s="147">
        <f t="shared" si="6"/>
        <v>0.49109414405611829</v>
      </c>
      <c r="G43" s="93">
        <f t="shared" si="9"/>
        <v>12.473791259025404</v>
      </c>
      <c r="H43" s="93">
        <f t="shared" si="7"/>
        <v>148.06503723848834</v>
      </c>
      <c r="I43" s="93">
        <f t="shared" si="10"/>
        <v>376.08519458576041</v>
      </c>
      <c r="K43" s="219" t="s">
        <v>530</v>
      </c>
      <c r="L43" s="220">
        <v>63</v>
      </c>
      <c r="M43" s="220">
        <f t="shared" si="11"/>
        <v>90.012869100000003</v>
      </c>
      <c r="N43" s="221" t="s">
        <v>531</v>
      </c>
      <c r="O43" s="207"/>
      <c r="P43" s="207"/>
      <c r="Q43" s="207"/>
      <c r="R43" s="218"/>
    </row>
    <row r="44" spans="1:18">
      <c r="A44" s="34">
        <f t="shared" si="8"/>
        <v>2300</v>
      </c>
      <c r="C44" s="68">
        <f t="shared" si="4"/>
        <v>131.3343168951499</v>
      </c>
      <c r="D44" s="7">
        <f t="shared" si="5"/>
        <v>71.377346138668415</v>
      </c>
      <c r="F44" s="147">
        <f t="shared" si="6"/>
        <v>0.51341660514957821</v>
      </c>
      <c r="G44" s="93">
        <f t="shared" si="9"/>
        <v>13.040781770799287</v>
      </c>
      <c r="H44" s="93">
        <f t="shared" si="7"/>
        <v>135.46971270969445</v>
      </c>
      <c r="I44" s="93">
        <f t="shared" si="10"/>
        <v>344.0930702826239</v>
      </c>
      <c r="K44" s="219" t="s">
        <v>532</v>
      </c>
      <c r="L44" s="220">
        <v>82</v>
      </c>
      <c r="M44" s="220">
        <f t="shared" si="11"/>
        <v>117.15960740000001</v>
      </c>
      <c r="N44" s="221" t="s">
        <v>533</v>
      </c>
      <c r="O44" s="207"/>
      <c r="P44" s="207"/>
      <c r="Q44" s="207"/>
      <c r="R44" s="218"/>
    </row>
    <row r="45" spans="1:18">
      <c r="A45" s="34">
        <f t="shared" si="8"/>
        <v>2400</v>
      </c>
      <c r="C45" s="68">
        <f t="shared" si="4"/>
        <v>137.04450458624339</v>
      </c>
      <c r="D45" s="7">
        <f t="shared" si="5"/>
        <v>74.480709014262715</v>
      </c>
      <c r="F45" s="147">
        <f t="shared" si="6"/>
        <v>0.53573906624303813</v>
      </c>
      <c r="G45" s="93">
        <f t="shared" si="9"/>
        <v>13.607772282573167</v>
      </c>
      <c r="H45" s="93">
        <f t="shared" si="7"/>
        <v>124.41576045734089</v>
      </c>
      <c r="I45" s="93">
        <f t="shared" si="10"/>
        <v>316.01603156164589</v>
      </c>
      <c r="K45" s="219" t="s">
        <v>534</v>
      </c>
      <c r="L45" s="220">
        <v>137</v>
      </c>
      <c r="M45" s="220">
        <f t="shared" si="11"/>
        <v>195.74227090000002</v>
      </c>
      <c r="N45" s="221" t="s">
        <v>535</v>
      </c>
      <c r="O45" s="207"/>
      <c r="P45" s="207"/>
      <c r="Q45" s="207"/>
      <c r="R45" s="218"/>
    </row>
    <row r="46" spans="1:18">
      <c r="A46" s="34">
        <f t="shared" si="8"/>
        <v>2500</v>
      </c>
      <c r="C46" s="68">
        <f t="shared" si="4"/>
        <v>142.75469227733686</v>
      </c>
      <c r="D46" s="7">
        <f t="shared" si="5"/>
        <v>77.584071889856986</v>
      </c>
      <c r="F46" s="147">
        <f t="shared" si="6"/>
        <v>0.55806152733649805</v>
      </c>
      <c r="G46" s="93">
        <f t="shared" si="9"/>
        <v>14.17476279434705</v>
      </c>
      <c r="H46" s="93">
        <f t="shared" si="7"/>
        <v>114.66156483748537</v>
      </c>
      <c r="I46" s="93">
        <f t="shared" si="10"/>
        <v>291.24037468721286</v>
      </c>
      <c r="K46" s="219" t="s">
        <v>534</v>
      </c>
      <c r="L46" s="220">
        <v>150</v>
      </c>
      <c r="M46" s="220">
        <f t="shared" si="11"/>
        <v>214.31635500000002</v>
      </c>
      <c r="N46" s="221" t="s">
        <v>536</v>
      </c>
      <c r="O46" s="207"/>
      <c r="P46" s="207"/>
      <c r="Q46" s="207"/>
      <c r="R46" s="218"/>
    </row>
    <row r="47" spans="1:18">
      <c r="A47" s="34">
        <f t="shared" si="8"/>
        <v>2600</v>
      </c>
      <c r="C47" s="68">
        <f t="shared" si="4"/>
        <v>148.46487996843032</v>
      </c>
      <c r="D47" s="7">
        <f t="shared" si="5"/>
        <v>80.687434765451258</v>
      </c>
      <c r="F47" s="147">
        <f t="shared" si="6"/>
        <v>0.58038398842995798</v>
      </c>
      <c r="G47" s="93">
        <f t="shared" si="9"/>
        <v>14.741753306120932</v>
      </c>
      <c r="H47" s="93">
        <f t="shared" si="7"/>
        <v>106.01106216483487</v>
      </c>
      <c r="I47" s="93">
        <f t="shared" si="10"/>
        <v>269.26809789868059</v>
      </c>
      <c r="K47" s="219" t="s">
        <v>534</v>
      </c>
      <c r="L47" s="220">
        <v>161</v>
      </c>
      <c r="M47" s="220">
        <f t="shared" si="11"/>
        <v>230.0328877</v>
      </c>
      <c r="N47" s="221" t="s">
        <v>537</v>
      </c>
      <c r="O47" s="207"/>
      <c r="P47" s="207"/>
      <c r="Q47" s="207"/>
      <c r="R47" s="218"/>
    </row>
    <row r="48" spans="1:18">
      <c r="A48" s="34">
        <f t="shared" si="8"/>
        <v>2700</v>
      </c>
      <c r="C48" s="68">
        <f t="shared" si="4"/>
        <v>154.17506765952382</v>
      </c>
      <c r="D48" s="7">
        <f t="shared" si="5"/>
        <v>83.790797641045543</v>
      </c>
      <c r="F48" s="147">
        <f t="shared" si="6"/>
        <v>0.6027064495234179</v>
      </c>
      <c r="G48" s="93">
        <f t="shared" si="9"/>
        <v>15.308743817894813</v>
      </c>
      <c r="H48" s="93">
        <f t="shared" si="7"/>
        <v>98.303810731726145</v>
      </c>
      <c r="I48" s="93">
        <f t="shared" si="10"/>
        <v>249.6916792585844</v>
      </c>
      <c r="K48" s="219" t="s">
        <v>538</v>
      </c>
      <c r="L48" s="220">
        <v>100</v>
      </c>
      <c r="M48" s="220">
        <f t="shared" si="11"/>
        <v>142.87757000000002</v>
      </c>
      <c r="N48" s="221" t="s">
        <v>539</v>
      </c>
      <c r="O48" s="207"/>
      <c r="P48" s="207"/>
      <c r="Q48" s="207"/>
      <c r="R48" s="218"/>
    </row>
    <row r="49" spans="1:18">
      <c r="A49" s="34">
        <f t="shared" si="8"/>
        <v>2800</v>
      </c>
      <c r="C49" s="68">
        <f t="shared" si="4"/>
        <v>159.88525535061729</v>
      </c>
      <c r="D49" s="7">
        <f t="shared" si="5"/>
        <v>86.894160516639829</v>
      </c>
      <c r="F49" s="147">
        <f t="shared" si="6"/>
        <v>0.62502891061687782</v>
      </c>
      <c r="G49" s="93">
        <f t="shared" si="9"/>
        <v>15.875734329668695</v>
      </c>
      <c r="H49" s="93">
        <f t="shared" si="7"/>
        <v>91.407497478862709</v>
      </c>
      <c r="I49" s="93">
        <f t="shared" si="10"/>
        <v>232.1750435963113</v>
      </c>
      <c r="K49" s="219" t="s">
        <v>687</v>
      </c>
      <c r="L49" s="220">
        <v>111</v>
      </c>
      <c r="M49" s="220">
        <f t="shared" si="11"/>
        <v>158.59410270000001</v>
      </c>
      <c r="N49" s="221" t="s">
        <v>686</v>
      </c>
      <c r="O49" s="207"/>
      <c r="P49" s="207"/>
      <c r="Q49" s="207"/>
      <c r="R49" s="218"/>
    </row>
    <row r="50" spans="1:18">
      <c r="A50" s="34">
        <f t="shared" si="8"/>
        <v>2900</v>
      </c>
      <c r="C50" s="68">
        <f t="shared" si="4"/>
        <v>165.59544304171078</v>
      </c>
      <c r="D50" s="7">
        <f t="shared" si="5"/>
        <v>89.997523392234115</v>
      </c>
      <c r="F50" s="147">
        <f t="shared" si="6"/>
        <v>0.64735137171033774</v>
      </c>
      <c r="G50" s="93">
        <f t="shared" si="9"/>
        <v>16.442724841442576</v>
      </c>
      <c r="H50" s="93">
        <f t="shared" si="7"/>
        <v>85.212221193137168</v>
      </c>
      <c r="I50" s="93">
        <f t="shared" si="10"/>
        <v>216.43904183056841</v>
      </c>
      <c r="K50" s="219" t="s">
        <v>540</v>
      </c>
      <c r="L50" s="220">
        <v>157</v>
      </c>
      <c r="M50" s="220">
        <f t="shared" si="11"/>
        <v>224.31778490000002</v>
      </c>
      <c r="N50" s="221" t="s">
        <v>541</v>
      </c>
      <c r="O50" s="207"/>
      <c r="P50" s="207"/>
      <c r="Q50" s="207"/>
      <c r="R50" s="218"/>
    </row>
    <row r="51" spans="1:18">
      <c r="A51" s="34">
        <f t="shared" si="8"/>
        <v>3000</v>
      </c>
      <c r="C51" s="68">
        <f t="shared" si="4"/>
        <v>171.30563073280425</v>
      </c>
      <c r="D51" s="7">
        <f t="shared" si="5"/>
        <v>93.100886267828386</v>
      </c>
      <c r="F51" s="147">
        <f t="shared" si="6"/>
        <v>0.66967383280379766</v>
      </c>
      <c r="G51" s="93">
        <f t="shared" si="9"/>
        <v>17.00971535321646</v>
      </c>
      <c r="H51" s="93">
        <f t="shared" si="7"/>
        <v>79.626086692698181</v>
      </c>
      <c r="I51" s="93">
        <f t="shared" si="10"/>
        <v>202.25026019945338</v>
      </c>
      <c r="K51" s="219" t="s">
        <v>543</v>
      </c>
      <c r="L51" s="220">
        <v>166</v>
      </c>
      <c r="M51" s="220">
        <f t="shared" si="11"/>
        <v>237.1767662</v>
      </c>
      <c r="N51" s="221" t="s">
        <v>542</v>
      </c>
      <c r="O51" s="207"/>
      <c r="P51" s="207"/>
      <c r="Q51" s="207"/>
      <c r="R51" s="336"/>
    </row>
    <row r="52" spans="1:18">
      <c r="A52" s="34">
        <f t="shared" si="8"/>
        <v>3100</v>
      </c>
      <c r="C52" s="68">
        <f t="shared" si="4"/>
        <v>177.01581842389774</v>
      </c>
      <c r="D52" s="7">
        <f t="shared" si="5"/>
        <v>96.204249143422686</v>
      </c>
      <c r="F52" s="147">
        <f t="shared" si="6"/>
        <v>0.69199629389725759</v>
      </c>
      <c r="G52" s="93">
        <f t="shared" si="9"/>
        <v>17.576705864990341</v>
      </c>
      <c r="H52" s="93">
        <f t="shared" si="7"/>
        <v>74.57177733967572</v>
      </c>
      <c r="I52" s="93">
        <f t="shared" si="10"/>
        <v>189.41231444277633</v>
      </c>
      <c r="K52" s="219" t="s">
        <v>544</v>
      </c>
      <c r="L52" s="220">
        <v>237</v>
      </c>
      <c r="M52" s="220">
        <f t="shared" si="11"/>
        <v>338.61984090000004</v>
      </c>
      <c r="N52" s="221" t="s">
        <v>545</v>
      </c>
      <c r="O52" s="207"/>
      <c r="P52" s="207"/>
      <c r="Q52" s="207"/>
      <c r="R52" s="218"/>
    </row>
    <row r="53" spans="1:18">
      <c r="A53" s="34">
        <f t="shared" si="8"/>
        <v>3200</v>
      </c>
      <c r="C53" s="68">
        <f t="shared" si="4"/>
        <v>182.72600611499118</v>
      </c>
      <c r="D53" s="7">
        <f t="shared" si="5"/>
        <v>99.307612019016943</v>
      </c>
      <c r="F53" s="147">
        <f t="shared" si="6"/>
        <v>0.71431875499071751</v>
      </c>
      <c r="G53" s="93">
        <f t="shared" si="9"/>
        <v>18.143696376764225</v>
      </c>
      <c r="H53" s="93">
        <f t="shared" si="7"/>
        <v>69.983865257254251</v>
      </c>
      <c r="I53" s="93">
        <f t="shared" si="10"/>
        <v>177.75901775342581</v>
      </c>
      <c r="K53" s="449" t="s">
        <v>692</v>
      </c>
      <c r="L53" s="450">
        <v>228</v>
      </c>
      <c r="M53" s="450">
        <v>326</v>
      </c>
      <c r="N53" s="354" t="s">
        <v>693</v>
      </c>
      <c r="O53" s="355"/>
      <c r="P53" s="360"/>
      <c r="Q53" s="360"/>
      <c r="R53" s="218"/>
    </row>
    <row r="54" spans="1:18">
      <c r="A54" s="34">
        <f t="shared" si="8"/>
        <v>3300</v>
      </c>
      <c r="C54" s="68">
        <f t="shared" si="4"/>
        <v>188.43619380608465</v>
      </c>
      <c r="D54" s="7">
        <f t="shared" si="5"/>
        <v>102.41097489461121</v>
      </c>
      <c r="F54" s="147">
        <f t="shared" si="6"/>
        <v>0.73664121608417743</v>
      </c>
      <c r="G54" s="93">
        <f t="shared" si="9"/>
        <v>18.710686888538106</v>
      </c>
      <c r="H54" s="93">
        <f t="shared" si="7"/>
        <v>65.806683217105927</v>
      </c>
      <c r="I54" s="93">
        <f t="shared" si="10"/>
        <v>167.14897537144907</v>
      </c>
      <c r="K54" s="219" t="s">
        <v>546</v>
      </c>
      <c r="L54" s="220">
        <v>232.6</v>
      </c>
      <c r="M54" s="220">
        <f t="shared" si="11"/>
        <v>332.33322781999999</v>
      </c>
      <c r="N54" s="221" t="s">
        <v>545</v>
      </c>
      <c r="O54" s="207"/>
      <c r="P54" s="207"/>
      <c r="Q54" s="207"/>
      <c r="R54" s="218"/>
    </row>
    <row r="55" spans="1:18">
      <c r="A55" s="34">
        <f t="shared" si="8"/>
        <v>3400</v>
      </c>
      <c r="C55" s="68">
        <f t="shared" si="4"/>
        <v>194.14638149717811</v>
      </c>
      <c r="D55" s="7">
        <f t="shared" si="5"/>
        <v>105.51433777020549</v>
      </c>
      <c r="F55" s="147">
        <f t="shared" si="6"/>
        <v>0.75896367717763735</v>
      </c>
      <c r="G55" s="93">
        <f t="shared" si="9"/>
        <v>19.277677400311987</v>
      </c>
      <c r="H55" s="93">
        <f t="shared" si="7"/>
        <v>61.992628047948408</v>
      </c>
      <c r="I55" s="93">
        <f t="shared" si="10"/>
        <v>157.46127524178897</v>
      </c>
      <c r="K55" s="219" t="s">
        <v>546</v>
      </c>
      <c r="L55" s="220">
        <v>253</v>
      </c>
      <c r="M55" s="220">
        <f t="shared" si="11"/>
        <v>361.48025210000003</v>
      </c>
      <c r="N55" s="221" t="s">
        <v>547</v>
      </c>
      <c r="O55" s="207"/>
      <c r="P55" s="207"/>
      <c r="Q55" s="207"/>
      <c r="R55" s="218"/>
    </row>
    <row r="56" spans="1:18">
      <c r="A56" s="34">
        <f t="shared" si="8"/>
        <v>3500</v>
      </c>
      <c r="C56" s="68">
        <f t="shared" si="4"/>
        <v>199.85656918827161</v>
      </c>
      <c r="D56" s="7">
        <f t="shared" si="5"/>
        <v>108.61770064579979</v>
      </c>
      <c r="F56" s="147">
        <f t="shared" si="6"/>
        <v>0.78128613827109727</v>
      </c>
      <c r="G56" s="93">
        <f t="shared" si="9"/>
        <v>19.844667912085871</v>
      </c>
      <c r="H56" s="93">
        <f t="shared" si="7"/>
        <v>58.500798386472134</v>
      </c>
      <c r="I56" s="93">
        <f t="shared" si="10"/>
        <v>148.59202790163923</v>
      </c>
      <c r="K56" s="352" t="s">
        <v>563</v>
      </c>
      <c r="L56" s="353">
        <v>262</v>
      </c>
      <c r="M56" s="353">
        <f t="shared" si="11"/>
        <v>374.33923340000001</v>
      </c>
      <c r="N56" s="354" t="s">
        <v>564</v>
      </c>
      <c r="O56" s="360"/>
      <c r="P56" s="360"/>
      <c r="Q56" s="207"/>
      <c r="R56" s="218"/>
    </row>
    <row r="57" spans="1:18">
      <c r="A57" s="34">
        <f t="shared" si="8"/>
        <v>3600</v>
      </c>
      <c r="C57" s="68">
        <f t="shared" si="4"/>
        <v>205.56675687936507</v>
      </c>
      <c r="D57" s="7">
        <f t="shared" si="5"/>
        <v>111.72106352139406</v>
      </c>
      <c r="F57" s="147">
        <f t="shared" si="6"/>
        <v>0.8036085993645572</v>
      </c>
      <c r="G57" s="93">
        <f t="shared" si="9"/>
        <v>20.411658423859752</v>
      </c>
      <c r="H57" s="93">
        <f t="shared" si="7"/>
        <v>55.295893536595955</v>
      </c>
      <c r="I57" s="93">
        <f t="shared" si="10"/>
        <v>140.45156958295374</v>
      </c>
      <c r="K57" s="219" t="s">
        <v>548</v>
      </c>
      <c r="L57" s="220">
        <v>202</v>
      </c>
      <c r="M57" s="220">
        <f t="shared" si="11"/>
        <v>288.61269140000002</v>
      </c>
      <c r="N57" s="221" t="s">
        <v>549</v>
      </c>
      <c r="O57" s="207"/>
      <c r="P57" s="207"/>
      <c r="Q57" s="207"/>
      <c r="R57" s="218"/>
    </row>
    <row r="58" spans="1:18">
      <c r="A58" s="34">
        <f t="shared" si="8"/>
        <v>3700</v>
      </c>
      <c r="C58" s="68">
        <f t="shared" si="4"/>
        <v>211.27694457045857</v>
      </c>
      <c r="D58" s="7">
        <f t="shared" si="5"/>
        <v>114.82442639698834</v>
      </c>
      <c r="F58" s="147">
        <f t="shared" si="6"/>
        <v>0.82593106045801723</v>
      </c>
      <c r="G58" s="93">
        <f t="shared" si="9"/>
        <v>20.978648935633636</v>
      </c>
      <c r="H58" s="93">
        <f t="shared" si="7"/>
        <v>52.347317767296083</v>
      </c>
      <c r="I58" s="93">
        <f t="shared" si="10"/>
        <v>132.96218712893204</v>
      </c>
      <c r="K58" s="219" t="s">
        <v>550</v>
      </c>
      <c r="L58" s="220">
        <v>250.6</v>
      </c>
      <c r="M58" s="220">
        <f t="shared" si="11"/>
        <v>358.05119042000001</v>
      </c>
      <c r="N58" s="221" t="s">
        <v>551</v>
      </c>
      <c r="O58" s="207"/>
      <c r="P58" s="207"/>
      <c r="Q58" s="207"/>
      <c r="R58" s="336"/>
    </row>
    <row r="59" spans="1:18">
      <c r="A59" s="34">
        <f t="shared" si="8"/>
        <v>3800</v>
      </c>
      <c r="C59" s="68">
        <f t="shared" si="4"/>
        <v>216.98713226155206</v>
      </c>
      <c r="D59" s="7">
        <f t="shared" si="5"/>
        <v>117.92778927258264</v>
      </c>
      <c r="F59" s="147">
        <f t="shared" si="6"/>
        <v>0.84825352155147704</v>
      </c>
      <c r="G59" s="93">
        <f t="shared" si="9"/>
        <v>21.545639447407517</v>
      </c>
      <c r="H59" s="93">
        <f t="shared" si="7"/>
        <v>49.628447384645682</v>
      </c>
      <c r="I59" s="93">
        <f t="shared" si="10"/>
        <v>126.05625635700004</v>
      </c>
      <c r="K59" s="219" t="s">
        <v>550</v>
      </c>
      <c r="L59" s="220">
        <v>266</v>
      </c>
      <c r="M59" s="220">
        <f t="shared" si="11"/>
        <v>380.05433620000002</v>
      </c>
      <c r="N59" s="221" t="s">
        <v>552</v>
      </c>
      <c r="O59" s="207"/>
      <c r="P59" s="207"/>
      <c r="Q59" s="207"/>
      <c r="R59" s="218"/>
    </row>
    <row r="60" spans="1:18">
      <c r="A60" s="34">
        <f t="shared" si="8"/>
        <v>3900</v>
      </c>
      <c r="C60" s="68">
        <f t="shared" si="4"/>
        <v>222.6973199526455</v>
      </c>
      <c r="D60" s="7">
        <f t="shared" si="5"/>
        <v>121.0311521481769</v>
      </c>
      <c r="F60" s="147">
        <f t="shared" si="6"/>
        <v>0.87057598264493696</v>
      </c>
      <c r="G60" s="93">
        <f t="shared" si="9"/>
        <v>22.112629959181398</v>
      </c>
      <c r="H60" s="93">
        <f t="shared" si="7"/>
        <v>47.116027628815488</v>
      </c>
      <c r="I60" s="93">
        <f t="shared" si="10"/>
        <v>119.67471017719134</v>
      </c>
      <c r="K60" s="219" t="s">
        <v>550</v>
      </c>
      <c r="L60" s="220">
        <v>278</v>
      </c>
      <c r="M60" s="220">
        <f t="shared" si="11"/>
        <v>397.1996446</v>
      </c>
      <c r="N60" s="221" t="s">
        <v>553</v>
      </c>
      <c r="O60" s="207"/>
      <c r="P60" s="207"/>
      <c r="Q60" s="207"/>
      <c r="R60" s="336"/>
    </row>
    <row r="61" spans="1:18">
      <c r="A61" s="34">
        <f t="shared" si="8"/>
        <v>4000</v>
      </c>
      <c r="C61" s="68">
        <f t="shared" si="4"/>
        <v>228.40750764373894</v>
      </c>
      <c r="D61" s="7">
        <f t="shared" si="5"/>
        <v>124.13451502377116</v>
      </c>
      <c r="F61" s="147">
        <f t="shared" si="6"/>
        <v>0.89289844373839677</v>
      </c>
      <c r="G61" s="93">
        <f t="shared" si="9"/>
        <v>22.679620470955278</v>
      </c>
      <c r="H61" s="93">
        <f t="shared" si="7"/>
        <v>44.789673764642735</v>
      </c>
      <c r="I61" s="93">
        <f t="shared" si="10"/>
        <v>113.76577136219255</v>
      </c>
      <c r="K61" s="229" t="s">
        <v>559</v>
      </c>
      <c r="L61" s="230">
        <v>290</v>
      </c>
      <c r="M61" s="230">
        <f t="shared" si="11"/>
        <v>414.34495300000003</v>
      </c>
      <c r="N61" s="231" t="s">
        <v>560</v>
      </c>
      <c r="O61" s="207"/>
      <c r="P61" s="207"/>
      <c r="Q61" s="207"/>
      <c r="R61" s="218"/>
    </row>
    <row r="62" spans="1:18">
      <c r="A62" s="34">
        <f t="shared" si="8"/>
        <v>4100</v>
      </c>
      <c r="C62" s="68">
        <f t="shared" si="4"/>
        <v>234.11769533483246</v>
      </c>
      <c r="D62" s="7">
        <f t="shared" si="5"/>
        <v>127.23787789936546</v>
      </c>
      <c r="F62" s="147">
        <f t="shared" si="6"/>
        <v>0.91522090483185681</v>
      </c>
      <c r="G62" s="93">
        <f t="shared" si="9"/>
        <v>23.246610982729162</v>
      </c>
      <c r="H62" s="93">
        <f t="shared" si="7"/>
        <v>42.631456289963332</v>
      </c>
      <c r="I62" s="93">
        <f t="shared" si="10"/>
        <v>108.28389897650686</v>
      </c>
      <c r="K62" s="233" t="s">
        <v>554</v>
      </c>
      <c r="L62" s="234">
        <v>376.4</v>
      </c>
      <c r="M62" s="234">
        <f t="shared" si="11"/>
        <v>537.79117348</v>
      </c>
      <c r="N62" s="235" t="s">
        <v>555</v>
      </c>
      <c r="O62" s="236"/>
      <c r="P62" s="236"/>
      <c r="Q62" s="236"/>
      <c r="R62" s="237"/>
    </row>
    <row r="63" spans="1:18">
      <c r="A63" s="34">
        <f t="shared" si="8"/>
        <v>4200</v>
      </c>
      <c r="C63" s="68">
        <f t="shared" ref="C63:C94" si="12">$A$8*$G$8*A63*$A$18/3456/14.696</f>
        <v>239.8278830259259</v>
      </c>
      <c r="D63" s="7">
        <f t="shared" ref="D63:D94" si="13">C63/$A$16</f>
        <v>130.34124077495972</v>
      </c>
      <c r="F63" s="147">
        <f t="shared" ref="F63:F94" si="14">A63*$G$2^2*$G$5/$H$18</f>
        <v>0.93754336592531662</v>
      </c>
      <c r="G63" s="93">
        <f t="shared" si="9"/>
        <v>23.81360149450304</v>
      </c>
      <c r="H63" s="93">
        <f t="shared" ref="H63:H94" si="15">$H$19*$H$4/(PI()*(F63/2)^2)</f>
        <v>40.625554435050098</v>
      </c>
      <c r="I63" s="93">
        <f t="shared" si="10"/>
        <v>103.18890826502725</v>
      </c>
      <c r="K63" s="188"/>
      <c r="L63" s="213"/>
      <c r="M63" s="188"/>
      <c r="N63" s="188"/>
    </row>
    <row r="64" spans="1:18">
      <c r="A64" s="34">
        <f t="shared" ref="A64:A95" si="16">$A$29+A63</f>
        <v>4300</v>
      </c>
      <c r="C64" s="68">
        <f t="shared" si="12"/>
        <v>245.53807071701942</v>
      </c>
      <c r="D64" s="7">
        <f t="shared" si="13"/>
        <v>133.44460365055403</v>
      </c>
      <c r="F64" s="147">
        <f t="shared" si="14"/>
        <v>0.95986582701877665</v>
      </c>
      <c r="G64" s="93">
        <f t="shared" si="9"/>
        <v>24.380592006276924</v>
      </c>
      <c r="H64" s="93">
        <f t="shared" si="15"/>
        <v>38.757965399366341</v>
      </c>
      <c r="I64" s="93">
        <f t="shared" si="10"/>
        <v>98.445232114390507</v>
      </c>
      <c r="K64" s="188"/>
      <c r="L64" s="213"/>
      <c r="M64" s="188"/>
      <c r="N64" s="188"/>
    </row>
    <row r="65" spans="1:14" ht="18">
      <c r="A65" s="34">
        <f t="shared" si="16"/>
        <v>4400</v>
      </c>
      <c r="C65" s="68">
        <f t="shared" si="12"/>
        <v>251.24825840811286</v>
      </c>
      <c r="D65" s="7">
        <f t="shared" si="13"/>
        <v>136.54796652614829</v>
      </c>
      <c r="F65" s="147">
        <f t="shared" si="14"/>
        <v>0.98218828811223657</v>
      </c>
      <c r="G65" s="93">
        <f t="shared" si="9"/>
        <v>24.947582518050808</v>
      </c>
      <c r="H65" s="93">
        <f t="shared" si="15"/>
        <v>37.016259309622086</v>
      </c>
      <c r="I65" s="93">
        <f t="shared" si="10"/>
        <v>94.021298646440101</v>
      </c>
      <c r="K65" s="188"/>
      <c r="N65" s="225" t="s">
        <v>558</v>
      </c>
    </row>
    <row r="66" spans="1:14">
      <c r="A66" s="34">
        <f t="shared" si="16"/>
        <v>4500</v>
      </c>
      <c r="C66" s="68">
        <f t="shared" si="12"/>
        <v>256.95844609920636</v>
      </c>
      <c r="D66" s="7">
        <f t="shared" si="13"/>
        <v>139.65132940174257</v>
      </c>
      <c r="F66" s="147">
        <f t="shared" si="14"/>
        <v>1.0045107492056964</v>
      </c>
      <c r="G66" s="93">
        <f t="shared" si="9"/>
        <v>25.514573029824685</v>
      </c>
      <c r="H66" s="93">
        <f t="shared" si="15"/>
        <v>35.389371863421424</v>
      </c>
      <c r="I66" s="93">
        <f t="shared" si="10"/>
        <v>89.889004533090414</v>
      </c>
      <c r="K66" s="224"/>
      <c r="L66" s="213"/>
      <c r="M66" s="188"/>
      <c r="N66" s="188"/>
    </row>
    <row r="67" spans="1:14">
      <c r="A67" s="34">
        <f t="shared" si="16"/>
        <v>4600</v>
      </c>
      <c r="C67" s="68">
        <f t="shared" si="12"/>
        <v>262.66863379029979</v>
      </c>
      <c r="D67" s="7">
        <f t="shared" si="13"/>
        <v>142.75469227733683</v>
      </c>
      <c r="F67" s="147">
        <f t="shared" si="14"/>
        <v>1.0268332102991564</v>
      </c>
      <c r="G67" s="93">
        <f t="shared" si="9"/>
        <v>26.081563541598573</v>
      </c>
      <c r="H67" s="93">
        <f t="shared" si="15"/>
        <v>33.867428177423612</v>
      </c>
      <c r="I67" s="93">
        <f t="shared" si="10"/>
        <v>86.023267570655975</v>
      </c>
      <c r="K67" s="188"/>
      <c r="L67" s="213"/>
      <c r="M67" s="188"/>
      <c r="N67" s="188"/>
    </row>
    <row r="68" spans="1:14">
      <c r="A68" s="34">
        <f t="shared" si="16"/>
        <v>4700</v>
      </c>
      <c r="C68" s="68">
        <f t="shared" si="12"/>
        <v>268.37882148139335</v>
      </c>
      <c r="D68" s="7">
        <f t="shared" si="13"/>
        <v>145.85805515293117</v>
      </c>
      <c r="F68" s="147">
        <f t="shared" si="14"/>
        <v>1.0491556713926162</v>
      </c>
      <c r="G68" s="93">
        <f t="shared" si="9"/>
        <v>26.64855405337245</v>
      </c>
      <c r="H68" s="93">
        <f t="shared" si="15"/>
        <v>32.441592586432037</v>
      </c>
      <c r="I68" s="93">
        <f t="shared" si="10"/>
        <v>82.401645169537375</v>
      </c>
      <c r="K68" s="188"/>
      <c r="L68" s="213"/>
      <c r="M68" s="188"/>
      <c r="N68" s="188"/>
    </row>
    <row r="69" spans="1:14">
      <c r="A69" s="34">
        <f t="shared" si="16"/>
        <v>4800</v>
      </c>
      <c r="C69" s="68">
        <f t="shared" si="12"/>
        <v>274.08900917248678</v>
      </c>
      <c r="D69" s="7">
        <f t="shared" si="13"/>
        <v>148.96141802852543</v>
      </c>
      <c r="F69" s="147">
        <f t="shared" si="14"/>
        <v>1.0714781324860763</v>
      </c>
      <c r="G69" s="93">
        <f t="shared" si="9"/>
        <v>27.215544565146335</v>
      </c>
      <c r="H69" s="93">
        <f t="shared" si="15"/>
        <v>31.103940114335224</v>
      </c>
      <c r="I69" s="93">
        <f t="shared" si="10"/>
        <v>79.004007890411472</v>
      </c>
      <c r="K69" s="188"/>
      <c r="L69" s="213"/>
      <c r="M69" s="188"/>
      <c r="N69" s="188"/>
    </row>
    <row r="70" spans="1:14">
      <c r="A70" s="34">
        <f t="shared" si="16"/>
        <v>4900</v>
      </c>
      <c r="C70" s="68">
        <f t="shared" si="12"/>
        <v>279.79919686358028</v>
      </c>
      <c r="D70" s="7">
        <f t="shared" si="13"/>
        <v>152.06478090411971</v>
      </c>
      <c r="F70" s="147">
        <f t="shared" si="14"/>
        <v>1.0938005935795363</v>
      </c>
      <c r="G70" s="93">
        <f t="shared" si="9"/>
        <v>27.782535076920219</v>
      </c>
      <c r="H70" s="93">
        <f t="shared" si="15"/>
        <v>29.847346115547001</v>
      </c>
      <c r="I70" s="93">
        <f t="shared" si="10"/>
        <v>75.812259133489391</v>
      </c>
      <c r="K70" s="188"/>
      <c r="L70" s="213"/>
      <c r="M70" s="188"/>
      <c r="N70" s="188"/>
    </row>
    <row r="71" spans="1:14">
      <c r="A71" s="34">
        <f t="shared" si="16"/>
        <v>5000</v>
      </c>
      <c r="C71" s="68">
        <f t="shared" si="12"/>
        <v>285.50938455467372</v>
      </c>
      <c r="D71" s="7">
        <f t="shared" si="13"/>
        <v>155.16814377971397</v>
      </c>
      <c r="F71" s="147">
        <f t="shared" si="14"/>
        <v>1.1161230546729961</v>
      </c>
      <c r="G71" s="93">
        <f t="shared" si="9"/>
        <v>28.3495255886941</v>
      </c>
      <c r="H71" s="93">
        <f t="shared" si="15"/>
        <v>28.665391209371343</v>
      </c>
      <c r="I71" s="93">
        <f t="shared" si="10"/>
        <v>72.810093671803216</v>
      </c>
      <c r="L71" s="78"/>
    </row>
    <row r="72" spans="1:14">
      <c r="A72" s="34">
        <f t="shared" si="16"/>
        <v>5100</v>
      </c>
      <c r="C72" s="68">
        <f t="shared" si="12"/>
        <v>291.21957224576721</v>
      </c>
      <c r="D72" s="7">
        <f t="shared" si="13"/>
        <v>158.27150665530826</v>
      </c>
      <c r="F72" s="147">
        <f t="shared" si="14"/>
        <v>1.1384455157664559</v>
      </c>
      <c r="G72" s="93">
        <f t="shared" si="9"/>
        <v>28.91651610046798</v>
      </c>
      <c r="H72" s="93">
        <f t="shared" si="15"/>
        <v>27.552279132421521</v>
      </c>
      <c r="I72" s="93">
        <f t="shared" si="10"/>
        <v>69.982788996350664</v>
      </c>
      <c r="L72" s="78"/>
    </row>
    <row r="73" spans="1:14">
      <c r="A73" s="34">
        <f t="shared" si="16"/>
        <v>5200</v>
      </c>
      <c r="C73" s="68">
        <f t="shared" si="12"/>
        <v>296.92975993686065</v>
      </c>
      <c r="D73" s="7">
        <f t="shared" si="13"/>
        <v>161.37486953090252</v>
      </c>
      <c r="F73" s="147">
        <f t="shared" si="14"/>
        <v>1.160767976859916</v>
      </c>
      <c r="G73" s="93">
        <f t="shared" si="9"/>
        <v>29.483506612241865</v>
      </c>
      <c r="H73" s="93">
        <f t="shared" si="15"/>
        <v>26.502765541208717</v>
      </c>
      <c r="I73" s="93">
        <f t="shared" si="10"/>
        <v>67.317024474670148</v>
      </c>
      <c r="L73" s="78"/>
    </row>
    <row r="74" spans="1:14">
      <c r="A74" s="34">
        <f t="shared" si="16"/>
        <v>5300</v>
      </c>
      <c r="C74" s="68">
        <f t="shared" si="12"/>
        <v>302.63994762795414</v>
      </c>
      <c r="D74" s="7">
        <f t="shared" si="13"/>
        <v>164.4782324064968</v>
      </c>
      <c r="F74" s="147">
        <f t="shared" si="14"/>
        <v>1.1830904379533758</v>
      </c>
      <c r="G74" s="93">
        <f t="shared" si="9"/>
        <v>30.050497124015742</v>
      </c>
      <c r="H74" s="93">
        <f t="shared" si="15"/>
        <v>25.512096127955992</v>
      </c>
      <c r="I74" s="93">
        <f t="shared" si="10"/>
        <v>64.800724165008219</v>
      </c>
      <c r="L74" s="78"/>
    </row>
    <row r="75" spans="1:14">
      <c r="A75" s="34">
        <f t="shared" si="16"/>
        <v>5400</v>
      </c>
      <c r="C75" s="68">
        <f t="shared" si="12"/>
        <v>308.35013531904764</v>
      </c>
      <c r="D75" s="7">
        <f t="shared" si="13"/>
        <v>167.58159528209109</v>
      </c>
      <c r="F75" s="147">
        <f t="shared" si="14"/>
        <v>1.2054128990468358</v>
      </c>
      <c r="G75" s="93">
        <f t="shared" si="9"/>
        <v>30.617487635789626</v>
      </c>
      <c r="H75" s="93">
        <f t="shared" si="15"/>
        <v>24.575952682931536</v>
      </c>
      <c r="I75" s="93">
        <f t="shared" si="10"/>
        <v>62.4229198146461</v>
      </c>
      <c r="L75" s="78"/>
    </row>
    <row r="76" spans="1:14">
      <c r="A76" s="34">
        <f t="shared" si="16"/>
        <v>5500</v>
      </c>
      <c r="C76" s="68">
        <f t="shared" si="12"/>
        <v>314.06032301014113</v>
      </c>
      <c r="D76" s="7">
        <f t="shared" si="13"/>
        <v>170.6849581576854</v>
      </c>
      <c r="F76" s="147">
        <f t="shared" si="14"/>
        <v>1.2277353601402956</v>
      </c>
      <c r="G76" s="93">
        <f t="shared" si="9"/>
        <v>31.184478147563507</v>
      </c>
      <c r="H76" s="93">
        <f t="shared" si="15"/>
        <v>23.690405958158141</v>
      </c>
      <c r="I76" s="93">
        <f t="shared" si="10"/>
        <v>60.173631133721678</v>
      </c>
      <c r="L76" s="78"/>
    </row>
    <row r="77" spans="1:14">
      <c r="A77" s="34">
        <f t="shared" si="16"/>
        <v>5600</v>
      </c>
      <c r="C77" s="68">
        <f t="shared" si="12"/>
        <v>319.77051070123457</v>
      </c>
      <c r="D77" s="7">
        <f t="shared" si="13"/>
        <v>173.78832103327966</v>
      </c>
      <c r="F77" s="147">
        <f t="shared" si="14"/>
        <v>1.2500578212337556</v>
      </c>
      <c r="G77" s="93">
        <f t="shared" si="9"/>
        <v>31.751468659337391</v>
      </c>
      <c r="H77" s="93">
        <f t="shared" si="15"/>
        <v>22.851874369715677</v>
      </c>
      <c r="I77" s="93">
        <f t="shared" si="10"/>
        <v>58.043760899077824</v>
      </c>
      <c r="L77" s="78"/>
    </row>
    <row r="78" spans="1:14">
      <c r="A78" s="34">
        <f t="shared" si="16"/>
        <v>5700</v>
      </c>
      <c r="C78" s="68">
        <f t="shared" si="12"/>
        <v>325.48069839232801</v>
      </c>
      <c r="D78" s="7">
        <f t="shared" si="13"/>
        <v>176.89168390887392</v>
      </c>
      <c r="F78" s="147">
        <f t="shared" si="14"/>
        <v>1.2723802823272155</v>
      </c>
      <c r="G78" s="93">
        <f t="shared" si="9"/>
        <v>32.318459171111272</v>
      </c>
      <c r="H78" s="93">
        <f t="shared" si="15"/>
        <v>22.057087726509195</v>
      </c>
      <c r="I78" s="93">
        <f t="shared" si="10"/>
        <v>56.02500282533336</v>
      </c>
      <c r="L78" s="78"/>
    </row>
    <row r="79" spans="1:14">
      <c r="A79" s="34">
        <f t="shared" si="16"/>
        <v>5800</v>
      </c>
      <c r="C79" s="68">
        <f t="shared" si="12"/>
        <v>331.19088608342156</v>
      </c>
      <c r="D79" s="7">
        <f t="shared" si="13"/>
        <v>179.99504678446823</v>
      </c>
      <c r="F79" s="147">
        <f t="shared" si="14"/>
        <v>1.2947027434206755</v>
      </c>
      <c r="G79" s="93">
        <f t="shared" si="9"/>
        <v>32.885449682885152</v>
      </c>
      <c r="H79" s="93">
        <f t="shared" si="15"/>
        <v>21.303055298284292</v>
      </c>
      <c r="I79" s="93">
        <f t="shared" si="10"/>
        <v>54.109760457642103</v>
      </c>
      <c r="L79" s="78"/>
    </row>
    <row r="80" spans="1:14">
      <c r="A80" s="34">
        <f t="shared" si="16"/>
        <v>5900</v>
      </c>
      <c r="C80" s="68">
        <f t="shared" si="12"/>
        <v>336.90107377451494</v>
      </c>
      <c r="D80" s="7">
        <f t="shared" si="13"/>
        <v>183.09840966006246</v>
      </c>
      <c r="F80" s="147">
        <f t="shared" si="14"/>
        <v>1.3170252045141353</v>
      </c>
      <c r="G80" s="93">
        <f t="shared" si="9"/>
        <v>33.452440194659033</v>
      </c>
      <c r="H80" s="93">
        <f t="shared" si="15"/>
        <v>20.587037639594477</v>
      </c>
      <c r="I80" s="93">
        <f t="shared" si="10"/>
        <v>52.291075604569976</v>
      </c>
    </row>
    <row r="81" spans="1:9">
      <c r="A81" s="34">
        <f t="shared" si="16"/>
        <v>6000</v>
      </c>
      <c r="C81" s="68">
        <f t="shared" si="12"/>
        <v>342.61126146560849</v>
      </c>
      <c r="D81" s="7">
        <f t="shared" si="13"/>
        <v>186.20177253565677</v>
      </c>
      <c r="F81" s="147">
        <f t="shared" si="14"/>
        <v>1.3393476656075953</v>
      </c>
      <c r="G81" s="93">
        <f t="shared" si="9"/>
        <v>34.019430706432921</v>
      </c>
      <c r="H81" s="93">
        <f t="shared" si="15"/>
        <v>19.906521673174545</v>
      </c>
      <c r="I81" s="93">
        <f t="shared" si="10"/>
        <v>50.562565049863345</v>
      </c>
    </row>
    <row r="82" spans="1:9">
      <c r="A82" s="34">
        <f t="shared" si="16"/>
        <v>6100</v>
      </c>
      <c r="C82" s="68">
        <f t="shared" si="12"/>
        <v>348.32144915670193</v>
      </c>
      <c r="D82" s="7">
        <f t="shared" si="13"/>
        <v>189.30513541125103</v>
      </c>
      <c r="F82" s="147">
        <f t="shared" si="14"/>
        <v>1.3616701267010551</v>
      </c>
      <c r="G82" s="93">
        <f t="shared" si="9"/>
        <v>34.586421218206802</v>
      </c>
      <c r="H82" s="93">
        <f t="shared" si="15"/>
        <v>19.259198608822459</v>
      </c>
      <c r="I82" s="93">
        <f t="shared" si="10"/>
        <v>48.918364466409045</v>
      </c>
    </row>
    <row r="83" spans="1:9">
      <c r="A83" s="34">
        <f t="shared" si="16"/>
        <v>6200</v>
      </c>
      <c r="C83" s="68">
        <f t="shared" si="12"/>
        <v>354.03163684779548</v>
      </c>
      <c r="D83" s="7">
        <f t="shared" si="13"/>
        <v>192.40849828684537</v>
      </c>
      <c r="F83" s="147">
        <f t="shared" si="14"/>
        <v>1.3839925877945152</v>
      </c>
      <c r="G83" s="93">
        <f t="shared" si="9"/>
        <v>35.153411729980682</v>
      </c>
      <c r="H83" s="93">
        <f t="shared" si="15"/>
        <v>18.64294433491893</v>
      </c>
      <c r="I83" s="93">
        <f t="shared" si="10"/>
        <v>47.353078610694084</v>
      </c>
    </row>
    <row r="84" spans="1:9">
      <c r="A84" s="34">
        <f t="shared" si="16"/>
        <v>6300</v>
      </c>
      <c r="C84" s="68">
        <f t="shared" si="12"/>
        <v>359.74182453888886</v>
      </c>
      <c r="D84" s="7">
        <f t="shared" si="13"/>
        <v>195.5118611624396</v>
      </c>
      <c r="F84" s="147">
        <f t="shared" si="14"/>
        <v>1.406315048887975</v>
      </c>
      <c r="G84" s="93">
        <f t="shared" si="9"/>
        <v>35.720402241754563</v>
      </c>
      <c r="H84" s="93">
        <f t="shared" si="15"/>
        <v>18.055801971133377</v>
      </c>
      <c r="I84" s="93">
        <f t="shared" si="10"/>
        <v>45.86173700667878</v>
      </c>
    </row>
    <row r="85" spans="1:9">
      <c r="A85" s="34">
        <f t="shared" si="16"/>
        <v>6400</v>
      </c>
      <c r="C85" s="68">
        <f t="shared" si="12"/>
        <v>365.45201222998236</v>
      </c>
      <c r="D85" s="7">
        <f t="shared" si="13"/>
        <v>198.61522403803389</v>
      </c>
      <c r="F85" s="147">
        <f t="shared" si="14"/>
        <v>1.428637509981435</v>
      </c>
      <c r="G85" s="93">
        <f t="shared" si="9"/>
        <v>36.287392753528451</v>
      </c>
      <c r="H85" s="93">
        <f t="shared" si="15"/>
        <v>17.495966314313563</v>
      </c>
      <c r="I85" s="93">
        <f t="shared" si="10"/>
        <v>44.439754438356452</v>
      </c>
    </row>
    <row r="86" spans="1:9">
      <c r="A86" s="34">
        <f t="shared" si="16"/>
        <v>6500</v>
      </c>
      <c r="C86" s="68">
        <f t="shared" si="12"/>
        <v>371.16219992107585</v>
      </c>
      <c r="D86" s="7">
        <f t="shared" si="13"/>
        <v>201.71858691362817</v>
      </c>
      <c r="F86" s="147">
        <f t="shared" si="14"/>
        <v>1.4509599710748948</v>
      </c>
      <c r="G86" s="93">
        <f t="shared" si="9"/>
        <v>36.854383265302324</v>
      </c>
      <c r="H86" s="93">
        <f t="shared" si="15"/>
        <v>16.961769946373575</v>
      </c>
      <c r="I86" s="93">
        <f t="shared" si="10"/>
        <v>43.082895663788882</v>
      </c>
    </row>
    <row r="87" spans="1:9">
      <c r="A87" s="34">
        <f t="shared" si="16"/>
        <v>6600</v>
      </c>
      <c r="C87" s="68">
        <f t="shared" si="12"/>
        <v>376.87238761216929</v>
      </c>
      <c r="D87" s="7">
        <f t="shared" si="13"/>
        <v>204.82194978922243</v>
      </c>
      <c r="F87" s="147">
        <f t="shared" si="14"/>
        <v>1.4732824321683549</v>
      </c>
      <c r="G87" s="93">
        <f t="shared" si="9"/>
        <v>37.421373777076212</v>
      </c>
      <c r="H87" s="93">
        <f t="shared" si="15"/>
        <v>16.451670804276482</v>
      </c>
      <c r="I87" s="93">
        <f t="shared" si="10"/>
        <v>41.787243842862267</v>
      </c>
    </row>
    <row r="88" spans="1:9">
      <c r="A88" s="34">
        <f t="shared" si="16"/>
        <v>6700</v>
      </c>
      <c r="C88" s="68">
        <f t="shared" si="12"/>
        <v>382.58257530326279</v>
      </c>
      <c r="D88" s="7">
        <f t="shared" si="13"/>
        <v>207.92531266481672</v>
      </c>
      <c r="F88" s="147">
        <f t="shared" si="14"/>
        <v>1.4956048932618147</v>
      </c>
      <c r="G88" s="93">
        <f t="shared" si="9"/>
        <v>37.988364288850093</v>
      </c>
      <c r="H88" s="93">
        <f t="shared" si="15"/>
        <v>15.964241038856844</v>
      </c>
      <c r="I88" s="93">
        <f t="shared" si="10"/>
        <v>40.549172238696386</v>
      </c>
    </row>
    <row r="89" spans="1:9">
      <c r="A89" s="34">
        <f t="shared" si="16"/>
        <v>6800</v>
      </c>
      <c r="C89" s="68">
        <f t="shared" si="12"/>
        <v>388.29276299435622</v>
      </c>
      <c r="D89" s="7">
        <f t="shared" si="13"/>
        <v>211.02867554041097</v>
      </c>
      <c r="F89" s="147">
        <f t="shared" si="14"/>
        <v>1.5179273543552747</v>
      </c>
      <c r="G89" s="93">
        <f t="shared" si="9"/>
        <v>38.555354800623974</v>
      </c>
      <c r="H89" s="93">
        <f t="shared" si="15"/>
        <v>15.498157011987102</v>
      </c>
      <c r="I89" s="93">
        <f t="shared" si="10"/>
        <v>39.365318810447242</v>
      </c>
    </row>
    <row r="90" spans="1:9">
      <c r="A90" s="34">
        <f t="shared" si="16"/>
        <v>6900</v>
      </c>
      <c r="C90" s="68">
        <f t="shared" si="12"/>
        <v>394.00295068544978</v>
      </c>
      <c r="D90" s="7">
        <f t="shared" si="13"/>
        <v>214.13203841600532</v>
      </c>
      <c r="F90" s="147">
        <f t="shared" si="14"/>
        <v>1.5402498154487345</v>
      </c>
      <c r="G90" s="93">
        <f t="shared" si="9"/>
        <v>39.122345312397854</v>
      </c>
      <c r="H90" s="93">
        <f t="shared" si="15"/>
        <v>15.052190301077164</v>
      </c>
      <c r="I90" s="93">
        <f t="shared" si="10"/>
        <v>38.232563364735995</v>
      </c>
    </row>
    <row r="91" spans="1:9">
      <c r="A91" s="34">
        <f t="shared" si="16"/>
        <v>7000</v>
      </c>
      <c r="C91" s="68">
        <f t="shared" si="12"/>
        <v>399.71313837654321</v>
      </c>
      <c r="D91" s="7">
        <f t="shared" si="13"/>
        <v>217.23540129159957</v>
      </c>
      <c r="F91" s="147">
        <f t="shared" si="14"/>
        <v>1.5625722765421945</v>
      </c>
      <c r="G91" s="93">
        <f t="shared" si="9"/>
        <v>39.689335824171742</v>
      </c>
      <c r="H91" s="93">
        <f t="shared" si="15"/>
        <v>14.625199596618033</v>
      </c>
      <c r="I91" s="93">
        <f t="shared" si="10"/>
        <v>37.148006975409807</v>
      </c>
    </row>
    <row r="92" spans="1:9">
      <c r="A92" s="34">
        <f t="shared" si="16"/>
        <v>7100</v>
      </c>
      <c r="C92" s="68">
        <f t="shared" si="12"/>
        <v>405.42332606763665</v>
      </c>
      <c r="D92" s="7">
        <f t="shared" si="13"/>
        <v>220.33876416719383</v>
      </c>
      <c r="F92" s="147">
        <f t="shared" si="14"/>
        <v>1.5848947376356544</v>
      </c>
      <c r="G92" s="93">
        <f t="shared" si="9"/>
        <v>40.256326335945616</v>
      </c>
      <c r="H92" s="93">
        <f t="shared" si="15"/>
        <v>14.216123392864187</v>
      </c>
      <c r="I92" s="93">
        <f t="shared" si="10"/>
        <v>36.108953417875036</v>
      </c>
    </row>
    <row r="93" spans="1:9">
      <c r="A93" s="34">
        <f t="shared" si="16"/>
        <v>7200</v>
      </c>
      <c r="C93" s="68">
        <f t="shared" si="12"/>
        <v>411.13351375873015</v>
      </c>
      <c r="D93" s="7">
        <f t="shared" si="13"/>
        <v>223.44212704278812</v>
      </c>
      <c r="F93" s="147">
        <f t="shared" si="14"/>
        <v>1.6072171987291144</v>
      </c>
      <c r="G93" s="93">
        <f t="shared" si="9"/>
        <v>40.823316847719504</v>
      </c>
      <c r="H93" s="93">
        <f t="shared" si="15"/>
        <v>13.823973384148989</v>
      </c>
      <c r="I93" s="93">
        <f t="shared" si="10"/>
        <v>35.112892395738434</v>
      </c>
    </row>
    <row r="94" spans="1:9">
      <c r="A94" s="34">
        <f t="shared" si="16"/>
        <v>7300</v>
      </c>
      <c r="C94" s="68">
        <f t="shared" si="12"/>
        <v>416.84370144982364</v>
      </c>
      <c r="D94" s="7">
        <f t="shared" si="13"/>
        <v>226.5454899183824</v>
      </c>
      <c r="F94" s="147">
        <f t="shared" si="14"/>
        <v>1.6295396598225742</v>
      </c>
      <c r="G94" s="93">
        <f t="shared" si="9"/>
        <v>41.390307359493384</v>
      </c>
      <c r="H94" s="93">
        <f t="shared" si="15"/>
        <v>13.447828490040976</v>
      </c>
      <c r="I94" s="93">
        <f t="shared" si="10"/>
        <v>34.157484364704082</v>
      </c>
    </row>
    <row r="95" spans="1:9">
      <c r="A95" s="34">
        <f t="shared" si="16"/>
        <v>7400</v>
      </c>
      <c r="C95" s="68">
        <f t="shared" ref="C95:C101" si="17">$A$8*$G$8*A95*$A$18/3456/14.696</f>
        <v>422.55388914091714</v>
      </c>
      <c r="D95" s="7">
        <f t="shared" ref="D95:D101" si="18">C95/$A$16</f>
        <v>229.64885279397669</v>
      </c>
      <c r="F95" s="147">
        <f t="shared" ref="F95:F101" si="19">A95*$G$2^2*$G$5/$H$18</f>
        <v>1.6518621209160345</v>
      </c>
      <c r="G95" s="93">
        <f t="shared" si="9"/>
        <v>41.957297871267272</v>
      </c>
      <c r="H95" s="93">
        <f t="shared" ref="H95:H101" si="20">$H$19*$H$4/(PI()*(F95/2)^2)</f>
        <v>13.086829441824021</v>
      </c>
      <c r="I95" s="93">
        <f t="shared" si="10"/>
        <v>33.240546782233011</v>
      </c>
    </row>
    <row r="96" spans="1:9">
      <c r="A96" s="34">
        <f t="shared" ref="A96:A101" si="21">$A$29+A95</f>
        <v>7500</v>
      </c>
      <c r="C96" s="68">
        <f t="shared" si="17"/>
        <v>428.26407683201057</v>
      </c>
      <c r="D96" s="7">
        <f t="shared" si="18"/>
        <v>232.75221566957094</v>
      </c>
      <c r="F96" s="147">
        <f t="shared" si="19"/>
        <v>1.6741845820094943</v>
      </c>
      <c r="G96" s="93">
        <f t="shared" ref="G96" si="22">F96*25.4</f>
        <v>42.524288383041153</v>
      </c>
      <c r="H96" s="93">
        <f t="shared" si="20"/>
        <v>12.740173870831708</v>
      </c>
      <c r="I96" s="93">
        <f t="shared" ref="I96" si="23">2.54*H96</f>
        <v>32.360041631912537</v>
      </c>
    </row>
    <row r="97" spans="1:9">
      <c r="A97" s="118">
        <f t="shared" si="21"/>
        <v>7600</v>
      </c>
      <c r="C97" s="68">
        <f t="shared" si="17"/>
        <v>433.97426452310413</v>
      </c>
      <c r="D97" s="68">
        <f t="shared" si="18"/>
        <v>235.85557854516529</v>
      </c>
      <c r="F97" s="147">
        <f t="shared" si="19"/>
        <v>1.6965070431029541</v>
      </c>
      <c r="G97" s="93">
        <f t="shared" ref="G97:G101" si="24">F97*25.4</f>
        <v>43.091278894815034</v>
      </c>
      <c r="H97" s="93">
        <f t="shared" si="20"/>
        <v>12.40711184616142</v>
      </c>
      <c r="I97" s="93">
        <f t="shared" ref="I97:I101" si="25">2.54*H97</f>
        <v>31.514064089250009</v>
      </c>
    </row>
    <row r="98" spans="1:9">
      <c r="A98" s="118">
        <f t="shared" si="21"/>
        <v>7700</v>
      </c>
      <c r="C98" s="68">
        <f t="shared" si="17"/>
        <v>439.68445221419751</v>
      </c>
      <c r="D98" s="68">
        <f t="shared" si="18"/>
        <v>238.95894142075952</v>
      </c>
      <c r="F98" s="147">
        <f t="shared" si="19"/>
        <v>1.7188295041964139</v>
      </c>
      <c r="G98" s="93">
        <f t="shared" si="24"/>
        <v>43.658269406588907</v>
      </c>
      <c r="H98" s="93">
        <f t="shared" si="20"/>
        <v>12.086941815386806</v>
      </c>
      <c r="I98" s="93">
        <f t="shared" si="25"/>
        <v>30.700832211082488</v>
      </c>
    </row>
    <row r="99" spans="1:9">
      <c r="A99" s="118">
        <f t="shared" si="21"/>
        <v>7800</v>
      </c>
      <c r="C99" s="68">
        <f t="shared" si="17"/>
        <v>445.394639905291</v>
      </c>
      <c r="D99" s="68">
        <f t="shared" si="18"/>
        <v>242.0623042963538</v>
      </c>
      <c r="F99" s="147">
        <f t="shared" si="19"/>
        <v>1.7411519652898739</v>
      </c>
      <c r="G99" s="93">
        <f t="shared" si="24"/>
        <v>44.225259918362795</v>
      </c>
      <c r="H99" s="93">
        <f t="shared" si="20"/>
        <v>11.779006907203872</v>
      </c>
      <c r="I99" s="93">
        <f t="shared" si="25"/>
        <v>29.918677544297836</v>
      </c>
    </row>
    <row r="100" spans="1:9">
      <c r="A100" s="118">
        <f t="shared" si="21"/>
        <v>7900</v>
      </c>
      <c r="C100" s="68">
        <f t="shared" si="17"/>
        <v>451.10482759638455</v>
      </c>
      <c r="D100" s="68">
        <f t="shared" si="18"/>
        <v>245.16566717194812</v>
      </c>
      <c r="F100" s="147">
        <f t="shared" si="19"/>
        <v>1.763474426383334</v>
      </c>
      <c r="G100" s="93">
        <f t="shared" si="24"/>
        <v>44.792250430136683</v>
      </c>
      <c r="H100" s="93">
        <f t="shared" si="20"/>
        <v>11.482691559594352</v>
      </c>
      <c r="I100" s="93">
        <f t="shared" si="25"/>
        <v>29.166036561369655</v>
      </c>
    </row>
    <row r="101" spans="1:9">
      <c r="A101" s="118">
        <f t="shared" si="21"/>
        <v>8000</v>
      </c>
      <c r="C101" s="68">
        <f t="shared" si="17"/>
        <v>456.81501528747788</v>
      </c>
      <c r="D101" s="68">
        <f t="shared" si="18"/>
        <v>248.26903004754232</v>
      </c>
      <c r="F101" s="147">
        <f t="shared" si="19"/>
        <v>1.7857968874767935</v>
      </c>
      <c r="G101" s="93">
        <f t="shared" si="24"/>
        <v>45.359240941910556</v>
      </c>
      <c r="H101" s="93">
        <f t="shared" si="20"/>
        <v>11.197418441160684</v>
      </c>
      <c r="I101" s="93">
        <f t="shared" si="25"/>
        <v>28.441442840548138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zoomScale="125" zoomScaleNormal="125" zoomScalePageLayoutView="125" workbookViewId="0"/>
  </sheetViews>
  <sheetFormatPr baseColWidth="10" defaultColWidth="8.7109375" defaultRowHeight="17" x14ac:dyDescent="0"/>
  <cols>
    <col min="1" max="1" width="18.28515625" style="119" customWidth="1"/>
    <col min="2" max="2" width="8.7109375" style="119" customWidth="1"/>
    <col min="3" max="3" width="16.7109375" style="119" customWidth="1"/>
    <col min="4" max="4" width="7.7109375" style="119" customWidth="1"/>
    <col min="5" max="5" width="8.140625" style="119" customWidth="1"/>
    <col min="6" max="6" width="8.42578125" style="119" customWidth="1"/>
    <col min="7" max="7" width="9.140625" style="119" customWidth="1"/>
    <col min="8" max="8" width="9.5703125" style="118" customWidth="1"/>
    <col min="9" max="9" width="8.28515625" style="119" customWidth="1"/>
    <col min="10" max="10" width="11.42578125" style="119" customWidth="1"/>
    <col min="11" max="23" width="9.140625" style="119" customWidth="1"/>
    <col min="24" max="16384" width="8.7109375" style="90"/>
  </cols>
  <sheetData>
    <row r="1" spans="1:23">
      <c r="B1" s="40" t="s">
        <v>32</v>
      </c>
      <c r="J1" s="310" t="s">
        <v>491</v>
      </c>
      <c r="K1" s="311">
        <f>'Displacement &amp; Cam Protractor'!$B$67</f>
        <v>39.10262956324037</v>
      </c>
    </row>
    <row r="2" spans="1:23">
      <c r="B2" s="40"/>
      <c r="J2" s="69" t="s">
        <v>603</v>
      </c>
      <c r="K2" s="70">
        <f>'Airflow &amp; Carburation'!$G$23</f>
        <v>36.996398251700121</v>
      </c>
    </row>
    <row r="3" spans="1:23">
      <c r="B3" s="120" t="s">
        <v>582</v>
      </c>
      <c r="H3" s="120" t="s">
        <v>469</v>
      </c>
      <c r="J3" s="69" t="s">
        <v>604</v>
      </c>
      <c r="K3" s="312">
        <f>'Displacement &amp; Cam Protractor'!$B$83</f>
        <v>34.695226636527387</v>
      </c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</row>
    <row r="4" spans="1:23">
      <c r="A4" s="12" t="s">
        <v>470</v>
      </c>
      <c r="B4" s="10">
        <v>10.5</v>
      </c>
      <c r="C4" s="116" t="s">
        <v>448</v>
      </c>
      <c r="D4" s="458">
        <v>1.7777777777777777</v>
      </c>
      <c r="E4" s="116" t="s">
        <v>471</v>
      </c>
      <c r="G4" s="120" t="s">
        <v>472</v>
      </c>
      <c r="H4" s="118">
        <f>PI()*G12^2*B4</f>
        <v>16.081823635619703</v>
      </c>
      <c r="J4" s="313" t="s">
        <v>602</v>
      </c>
      <c r="K4" s="72">
        <f>'Airflow &amp; Carburation'!$G$26</f>
        <v>35.470047815022745</v>
      </c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</row>
    <row r="5" spans="1:23">
      <c r="A5" s="12" t="s">
        <v>473</v>
      </c>
      <c r="B5" s="10">
        <v>7.5</v>
      </c>
      <c r="C5" s="116" t="s">
        <v>448</v>
      </c>
      <c r="D5" s="13">
        <f>SQRT(B8/B7)*B5</f>
        <v>5.6654793486517976</v>
      </c>
      <c r="E5" s="116" t="s">
        <v>593</v>
      </c>
      <c r="G5" s="120" t="s">
        <v>474</v>
      </c>
      <c r="H5" s="122">
        <f>(I71+I72)/SQRT(B7/B8)/2</f>
        <v>11.638341406297524</v>
      </c>
      <c r="I5" s="23" t="s">
        <v>696</v>
      </c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</row>
    <row r="6" spans="1:23">
      <c r="A6" s="12" t="s">
        <v>607</v>
      </c>
      <c r="B6" s="186">
        <f>K4</f>
        <v>35.470047815022745</v>
      </c>
      <c r="C6" s="116" t="str">
        <f>CONCATENATE("mm  ",ROUND(B6/25.4,2),"""    ",ROUND(D6/25.4,2),"""")</f>
        <v>mm  1.4"    1.85"</v>
      </c>
      <c r="D6" s="57">
        <f>SQRT(B7/B8)*B6</f>
        <v>46.955489949138389</v>
      </c>
      <c r="E6" s="116" t="s">
        <v>594</v>
      </c>
      <c r="G6" s="120" t="s">
        <v>449</v>
      </c>
      <c r="H6" s="176">
        <f>SUM(H4:H5)</f>
        <v>27.720165041917227</v>
      </c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</row>
    <row r="7" spans="1:23">
      <c r="A7" s="12" t="s">
        <v>475</v>
      </c>
      <c r="B7" s="10">
        <v>320</v>
      </c>
      <c r="C7" s="116" t="s">
        <v>476</v>
      </c>
      <c r="D7" s="122">
        <f>180*ATAN((D6-B6)/50.8/B5)/PI()</f>
        <v>1.7266880018066435</v>
      </c>
      <c r="E7" s="116" t="s">
        <v>477</v>
      </c>
      <c r="H7" s="118" t="s">
        <v>0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</row>
    <row r="8" spans="1:23">
      <c r="A8" s="12" t="s">
        <v>478</v>
      </c>
      <c r="B8" s="177">
        <v>182.6</v>
      </c>
      <c r="C8" s="116" t="s">
        <v>476</v>
      </c>
      <c r="D8" s="118" t="s">
        <v>479</v>
      </c>
      <c r="H8" s="68">
        <f>100*H6/'Displacement &amp; Cam Protractor'!$C$8</f>
        <v>90.93094958974946</v>
      </c>
      <c r="I8" s="119" t="s">
        <v>442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</row>
    <row r="9" spans="1:23">
      <c r="A9" s="116"/>
      <c r="B9" s="118">
        <f>8*B5</f>
        <v>60</v>
      </c>
      <c r="D9" s="90"/>
      <c r="H9" s="120" t="s">
        <v>483</v>
      </c>
      <c r="J9" s="119">
        <f>SQRT(B7/B8)*B6/50.8+0.1</f>
        <v>1.0243206682901258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</row>
    <row r="10" spans="1:23">
      <c r="A10" s="90"/>
      <c r="B10" s="173">
        <f>(B7/B8)^(1/B9)</f>
        <v>1.0093942352016951</v>
      </c>
      <c r="D10" s="90"/>
      <c r="E10" s="173">
        <f>SQRT(B10)</f>
        <v>1.0046861376577738</v>
      </c>
      <c r="F10" s="120" t="s">
        <v>601</v>
      </c>
      <c r="H10" s="78"/>
      <c r="I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</row>
    <row r="11" spans="1:23">
      <c r="A11" s="120" t="s">
        <v>480</v>
      </c>
      <c r="B11" s="120" t="s">
        <v>490</v>
      </c>
      <c r="C11" s="120" t="s">
        <v>476</v>
      </c>
      <c r="D11" s="92" t="s">
        <v>489</v>
      </c>
      <c r="E11" s="120" t="s">
        <v>19</v>
      </c>
      <c r="F11" s="120" t="s">
        <v>448</v>
      </c>
      <c r="G11" s="178" t="s">
        <v>481</v>
      </c>
      <c r="H11" s="178" t="s">
        <v>482</v>
      </c>
      <c r="I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</row>
    <row r="12" spans="1:23">
      <c r="A12" s="122">
        <f t="shared" ref="A12:A43" si="0">$B$13*PI()*G12^2</f>
        <v>0.19145028137642503</v>
      </c>
      <c r="B12" s="122">
        <v>0</v>
      </c>
      <c r="C12" s="118">
        <f>B7</f>
        <v>320</v>
      </c>
      <c r="D12" s="90"/>
      <c r="E12" s="68">
        <f>B6</f>
        <v>35.470047815022745</v>
      </c>
      <c r="F12" s="122">
        <f t="shared" ref="F12:F43" si="1">E12/25.4</f>
        <v>1.3964585753945964</v>
      </c>
      <c r="G12" s="122">
        <f>F12/2</f>
        <v>0.6982292876972982</v>
      </c>
      <c r="H12" s="122">
        <f t="shared" ref="H12:H75" si="2">-G12</f>
        <v>-0.6982292876972982</v>
      </c>
      <c r="I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</row>
    <row r="13" spans="1:23">
      <c r="A13" s="122">
        <f t="shared" si="0"/>
        <v>0.19324881034910593</v>
      </c>
      <c r="B13" s="122">
        <f t="shared" ref="B13:B76" si="3">B12+$B$5/$B$9</f>
        <v>0.125</v>
      </c>
      <c r="C13" s="68">
        <f t="shared" ref="C13:C76" si="4">C12/$B$10</f>
        <v>317.0218224359665</v>
      </c>
      <c r="D13" s="147" t="str">
        <f>CONCATENATE(ROUND(180*ATAN((G13-G12)/0.125)/PI(),2),"°")</f>
        <v>1.5°</v>
      </c>
      <c r="E13" s="68">
        <f t="shared" ref="E13:E44" si="5">$E$10*E12</f>
        <v>35.636265341811765</v>
      </c>
      <c r="F13" s="122">
        <f t="shared" si="1"/>
        <v>1.4030025725122743</v>
      </c>
      <c r="G13" s="122">
        <f t="shared" ref="G13:G76" si="6">F13/2</f>
        <v>0.70150128625613717</v>
      </c>
      <c r="H13" s="122">
        <f t="shared" si="2"/>
        <v>-0.70150128625613717</v>
      </c>
      <c r="I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</row>
    <row r="14" spans="1:23">
      <c r="A14" s="122">
        <f t="shared" si="0"/>
        <v>0.19506423512597326</v>
      </c>
      <c r="B14" s="122">
        <f t="shared" si="3"/>
        <v>0.25</v>
      </c>
      <c r="C14" s="68">
        <f t="shared" si="4"/>
        <v>314.07136218944208</v>
      </c>
      <c r="D14" s="147" t="str">
        <f t="shared" ref="D14:D77" si="7">CONCATENATE(ROUND(180*ATAN((G14-G13)/0.125)/PI(),2),"°")</f>
        <v>1.51°</v>
      </c>
      <c r="E14" s="68">
        <f t="shared" si="5"/>
        <v>35.803261786812449</v>
      </c>
      <c r="F14" s="122">
        <f t="shared" si="1"/>
        <v>1.4095772357012777</v>
      </c>
      <c r="G14" s="122">
        <f t="shared" si="6"/>
        <v>0.70478861785063884</v>
      </c>
      <c r="H14" s="122">
        <f t="shared" si="2"/>
        <v>-0.70478861785063884</v>
      </c>
      <c r="I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</row>
    <row r="15" spans="1:23">
      <c r="A15" s="122">
        <f t="shared" si="0"/>
        <v>0.19689671443018544</v>
      </c>
      <c r="B15" s="122">
        <f t="shared" si="3"/>
        <v>0.375</v>
      </c>
      <c r="C15" s="68">
        <f t="shared" si="4"/>
        <v>311.14836130076071</v>
      </c>
      <c r="D15" s="147" t="str">
        <f t="shared" si="7"/>
        <v>1.51°</v>
      </c>
      <c r="E15" s="68">
        <f t="shared" si="5"/>
        <v>35.971040800142767</v>
      </c>
      <c r="F15" s="122">
        <f t="shared" si="1"/>
        <v>1.4161827086670382</v>
      </c>
      <c r="G15" s="122">
        <f t="shared" si="6"/>
        <v>0.70809135433351911</v>
      </c>
      <c r="H15" s="122">
        <f t="shared" si="2"/>
        <v>-0.70809135433351911</v>
      </c>
      <c r="I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</row>
    <row r="16" spans="1:23">
      <c r="A16" s="122">
        <f t="shared" si="0"/>
        <v>0.19874640847598363</v>
      </c>
      <c r="B16" s="122">
        <f t="shared" si="3"/>
        <v>0.5</v>
      </c>
      <c r="C16" s="68">
        <f t="shared" si="4"/>
        <v>308.2525642110366</v>
      </c>
      <c r="D16" s="147" t="str">
        <f t="shared" si="7"/>
        <v>1.52°</v>
      </c>
      <c r="E16" s="68">
        <f t="shared" si="5"/>
        <v>36.139606049025637</v>
      </c>
      <c r="F16" s="122">
        <f t="shared" si="1"/>
        <v>1.422819135788411</v>
      </c>
      <c r="G16" s="122">
        <f t="shared" si="6"/>
        <v>0.71140956789420551</v>
      </c>
      <c r="H16" s="122">
        <f t="shared" si="2"/>
        <v>-0.71140956789420551</v>
      </c>
      <c r="I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</row>
    <row r="17" spans="1:23">
      <c r="A17" s="122">
        <f t="shared" si="0"/>
        <v>0.20061347898269927</v>
      </c>
      <c r="B17" s="122">
        <f t="shared" si="3"/>
        <v>0.625</v>
      </c>
      <c r="C17" s="68">
        <f t="shared" si="4"/>
        <v>305.38371773982067</v>
      </c>
      <c r="D17" s="147" t="str">
        <f t="shared" si="7"/>
        <v>1.53°</v>
      </c>
      <c r="E17" s="68">
        <f t="shared" si="5"/>
        <v>36.30896121786909</v>
      </c>
      <c r="F17" s="122">
        <f t="shared" si="1"/>
        <v>1.4294866621208304</v>
      </c>
      <c r="G17" s="122">
        <f t="shared" si="6"/>
        <v>0.71474333106041521</v>
      </c>
      <c r="H17" s="122">
        <f t="shared" si="2"/>
        <v>-0.71474333106041521</v>
      </c>
      <c r="I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>
      <c r="A18" s="122">
        <f t="shared" si="0"/>
        <v>0.20249808918889303</v>
      </c>
      <c r="B18" s="122">
        <f t="shared" si="3"/>
        <v>0.75</v>
      </c>
      <c r="C18" s="68">
        <f t="shared" si="4"/>
        <v>302.54157106296481</v>
      </c>
      <c r="D18" s="147" t="str">
        <f t="shared" si="7"/>
        <v>1.53°</v>
      </c>
      <c r="E18" s="68">
        <f t="shared" si="5"/>
        <v>36.479110008346794</v>
      </c>
      <c r="F18" s="122">
        <f t="shared" si="1"/>
        <v>1.4361854333994801</v>
      </c>
      <c r="G18" s="122">
        <f t="shared" si="6"/>
        <v>0.71809271669974006</v>
      </c>
      <c r="H18" s="122">
        <f t="shared" si="2"/>
        <v>-0.71809271669974006</v>
      </c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>
      <c r="A19" s="122">
        <f t="shared" si="0"/>
        <v>0.20440040386662739</v>
      </c>
      <c r="B19" s="122">
        <f t="shared" si="3"/>
        <v>0.875</v>
      </c>
      <c r="C19" s="68">
        <f t="shared" si="4"/>
        <v>299.72587569069242</v>
      </c>
      <c r="D19" s="147" t="str">
        <f t="shared" si="7"/>
        <v>1.54°</v>
      </c>
      <c r="E19" s="68">
        <f t="shared" si="5"/>
        <v>36.650056139478984</v>
      </c>
      <c r="F19" s="122">
        <f t="shared" si="1"/>
        <v>1.4429155960424798</v>
      </c>
      <c r="G19" s="122">
        <f t="shared" si="6"/>
        <v>0.72145779802123988</v>
      </c>
      <c r="H19" s="122">
        <f t="shared" si="2"/>
        <v>-0.72145779802123988</v>
      </c>
      <c r="I19" s="90"/>
      <c r="J19" s="119">
        <f>-J9</f>
        <v>-1.0243206682901258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>
      <c r="A20" s="122">
        <f t="shared" si="0"/>
        <v>0.20632058933587197</v>
      </c>
      <c r="B20" s="122">
        <f t="shared" si="3"/>
        <v>1</v>
      </c>
      <c r="C20" s="68">
        <f t="shared" si="4"/>
        <v>296.9363854458727</v>
      </c>
      <c r="D20" s="147" t="str">
        <f t="shared" si="7"/>
        <v>1.55°</v>
      </c>
      <c r="E20" s="68">
        <f t="shared" si="5"/>
        <v>36.821803347713718</v>
      </c>
      <c r="F20" s="122">
        <f t="shared" si="1"/>
        <v>1.4496772971540834</v>
      </c>
      <c r="G20" s="122">
        <f t="shared" si="6"/>
        <v>0.72483864857704172</v>
      </c>
      <c r="H20" s="122">
        <f t="shared" si="2"/>
        <v>-0.72483864857704172</v>
      </c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</row>
    <row r="21" spans="1:23">
      <c r="A21" s="122">
        <f t="shared" si="0"/>
        <v>0.20825881347904554</v>
      </c>
      <c r="B21" s="122">
        <f t="shared" si="3"/>
        <v>1.125</v>
      </c>
      <c r="C21" s="68">
        <f t="shared" si="4"/>
        <v>294.17285644249739</v>
      </c>
      <c r="D21" s="147" t="str">
        <f t="shared" si="7"/>
        <v>1.56°</v>
      </c>
      <c r="E21" s="68">
        <f t="shared" si="5"/>
        <v>36.994355387008582</v>
      </c>
      <c r="F21" s="122">
        <f t="shared" si="1"/>
        <v>1.456470684527897</v>
      </c>
      <c r="G21" s="122">
        <f t="shared" si="6"/>
        <v>0.72823534226394848</v>
      </c>
      <c r="H21" s="122">
        <f t="shared" si="2"/>
        <v>-0.72823534226394848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</row>
    <row r="22" spans="1:23">
      <c r="A22" s="122">
        <f t="shared" si="0"/>
        <v>0.21021524575569361</v>
      </c>
      <c r="B22" s="122">
        <f t="shared" si="3"/>
        <v>1.25</v>
      </c>
      <c r="C22" s="68">
        <f t="shared" si="4"/>
        <v>291.43504706435772</v>
      </c>
      <c r="D22" s="147" t="str">
        <f t="shared" si="7"/>
        <v>1.56°</v>
      </c>
      <c r="E22" s="68">
        <f t="shared" si="5"/>
        <v>37.167716028912707</v>
      </c>
      <c r="F22" s="122">
        <f t="shared" si="1"/>
        <v>1.4632959066501066</v>
      </c>
      <c r="G22" s="122">
        <f t="shared" si="6"/>
        <v>0.73164795332505328</v>
      </c>
      <c r="H22" s="122">
        <f t="shared" si="2"/>
        <v>-0.73164795332505328</v>
      </c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</row>
    <row r="23" spans="1:23">
      <c r="A23" s="122">
        <f t="shared" si="0"/>
        <v>0.21219005721730472</v>
      </c>
      <c r="B23" s="122">
        <f t="shared" si="3"/>
        <v>1.375</v>
      </c>
      <c r="C23" s="68">
        <f t="shared" si="4"/>
        <v>288.72271794391986</v>
      </c>
      <c r="D23" s="147" t="str">
        <f t="shared" si="7"/>
        <v>1.57°</v>
      </c>
      <c r="E23" s="68">
        <f t="shared" si="5"/>
        <v>37.341889062649237</v>
      </c>
      <c r="F23" s="122">
        <f t="shared" si="1"/>
        <v>1.4701531127027259</v>
      </c>
      <c r="G23" s="122">
        <f t="shared" si="6"/>
        <v>0.73507655635136293</v>
      </c>
      <c r="H23" s="122">
        <f t="shared" si="2"/>
        <v>-0.73507655635136293</v>
      </c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</row>
    <row r="24" spans="1:23">
      <c r="A24" s="122">
        <f t="shared" si="0"/>
        <v>0.21418342052226533</v>
      </c>
      <c r="B24" s="122">
        <f t="shared" si="3"/>
        <v>1.5</v>
      </c>
      <c r="C24" s="68">
        <f t="shared" si="4"/>
        <v>286.0356319413969</v>
      </c>
      <c r="D24" s="147" t="str">
        <f t="shared" si="7"/>
        <v>1.58°</v>
      </c>
      <c r="E24" s="68">
        <f t="shared" si="5"/>
        <v>37.516878295198133</v>
      </c>
      <c r="F24" s="122">
        <f t="shared" si="1"/>
        <v>1.4770424525668557</v>
      </c>
      <c r="G24" s="122">
        <f t="shared" si="6"/>
        <v>0.73852122628342787</v>
      </c>
      <c r="H24" s="122">
        <f t="shared" si="2"/>
        <v>-0.73852122628342787</v>
      </c>
      <c r="I24" s="90"/>
      <c r="J24" s="90"/>
      <c r="K24" s="78" t="s">
        <v>583</v>
      </c>
      <c r="L24" s="78" t="s">
        <v>587</v>
      </c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</row>
    <row r="25" spans="1:23">
      <c r="A25" s="122">
        <f t="shared" si="0"/>
        <v>0.21619550995095513</v>
      </c>
      <c r="B25" s="122">
        <f t="shared" si="3"/>
        <v>1.625</v>
      </c>
      <c r="C25" s="68">
        <f t="shared" si="4"/>
        <v>283.37355412401558</v>
      </c>
      <c r="D25" s="147" t="str">
        <f t="shared" si="7"/>
        <v>1.59°</v>
      </c>
      <c r="E25" s="68">
        <f t="shared" si="5"/>
        <v>37.692687551379379</v>
      </c>
      <c r="F25" s="122">
        <f t="shared" si="1"/>
        <v>1.4839640768259599</v>
      </c>
      <c r="G25" s="122">
        <f t="shared" si="6"/>
        <v>0.74198203841297994</v>
      </c>
      <c r="H25" s="122">
        <f t="shared" si="2"/>
        <v>-0.74198203841297994</v>
      </c>
      <c r="I25" s="90"/>
      <c r="J25" s="90"/>
      <c r="K25" s="118">
        <v>0</v>
      </c>
      <c r="L25" s="122">
        <f>F12</f>
        <v>1.3964585753945964</v>
      </c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</row>
    <row r="26" spans="1:23">
      <c r="A26" s="122">
        <f t="shared" si="0"/>
        <v>0.21822650142098482</v>
      </c>
      <c r="B26" s="122">
        <f t="shared" si="3"/>
        <v>1.75</v>
      </c>
      <c r="C26" s="68">
        <f t="shared" si="4"/>
        <v>280.7362517454763</v>
      </c>
      <c r="D26" s="147" t="str">
        <f t="shared" si="7"/>
        <v>1.59°</v>
      </c>
      <c r="E26" s="68">
        <f t="shared" si="5"/>
        <v>37.869320673936599</v>
      </c>
      <c r="F26" s="122">
        <f t="shared" si="1"/>
        <v>1.4909181367691575</v>
      </c>
      <c r="G26" s="122">
        <f t="shared" si="6"/>
        <v>0.74545906838457876</v>
      </c>
      <c r="H26" s="122">
        <f t="shared" si="2"/>
        <v>-0.74545906838457876</v>
      </c>
      <c r="I26" s="90"/>
      <c r="J26" s="90"/>
      <c r="K26" s="118">
        <f>K25+0.5</f>
        <v>0.5</v>
      </c>
      <c r="L26" s="122">
        <f>F16</f>
        <v>1.422819135788411</v>
      </c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</row>
    <row r="27" spans="1:23">
      <c r="A27" s="122">
        <f t="shared" si="0"/>
        <v>0.22027657250257657</v>
      </c>
      <c r="B27" s="122">
        <f t="shared" si="3"/>
        <v>1.875</v>
      </c>
      <c r="C27" s="68">
        <f t="shared" si="4"/>
        <v>278.12349422560368</v>
      </c>
      <c r="D27" s="147" t="str">
        <f t="shared" si="7"/>
        <v>1.6°</v>
      </c>
      <c r="E27" s="68">
        <f t="shared" si="5"/>
        <v>38.046781523621043</v>
      </c>
      <c r="F27" s="122">
        <f t="shared" si="1"/>
        <v>1.4979047843945292</v>
      </c>
      <c r="G27" s="122">
        <f t="shared" si="6"/>
        <v>0.74895239219726462</v>
      </c>
      <c r="H27" s="122">
        <f t="shared" si="2"/>
        <v>-0.74895239219726462</v>
      </c>
      <c r="I27" s="90"/>
      <c r="J27" s="90"/>
      <c r="K27" s="118">
        <f t="shared" ref="K27:K45" si="8">K26+0.5</f>
        <v>1</v>
      </c>
      <c r="L27" s="122">
        <f>F20</f>
        <v>1.4496772971540834</v>
      </c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</row>
    <row r="28" spans="1:23">
      <c r="A28" s="122">
        <f t="shared" si="0"/>
        <v>0.22234590243408905</v>
      </c>
      <c r="B28" s="122">
        <f t="shared" si="3"/>
        <v>2</v>
      </c>
      <c r="C28" s="68">
        <f t="shared" si="4"/>
        <v>275.53505313018712</v>
      </c>
      <c r="D28" s="147" t="str">
        <f t="shared" si="7"/>
        <v>1.61°</v>
      </c>
      <c r="E28" s="68">
        <f t="shared" si="5"/>
        <v>38.225073979275976</v>
      </c>
      <c r="F28" s="122">
        <f t="shared" si="1"/>
        <v>1.50492417241244</v>
      </c>
      <c r="G28" s="122">
        <f t="shared" si="6"/>
        <v>0.75246208620622002</v>
      </c>
      <c r="H28" s="122">
        <f t="shared" si="2"/>
        <v>-0.75246208620622002</v>
      </c>
      <c r="I28" s="90"/>
      <c r="J28" s="90"/>
      <c r="K28" s="118">
        <f t="shared" si="8"/>
        <v>1.5</v>
      </c>
      <c r="L28" s="122">
        <f>F24</f>
        <v>1.4770424525668557</v>
      </c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</row>
    <row r="29" spans="1:23">
      <c r="A29" s="122">
        <f t="shared" si="0"/>
        <v>0.22443467213768806</v>
      </c>
      <c r="B29" s="122">
        <f t="shared" si="3"/>
        <v>2.125</v>
      </c>
      <c r="C29" s="68">
        <f t="shared" si="4"/>
        <v>272.97070215100865</v>
      </c>
      <c r="D29" s="147" t="str">
        <f t="shared" si="7"/>
        <v>1.62°</v>
      </c>
      <c r="E29" s="68">
        <f t="shared" si="5"/>
        <v>38.404201937921449</v>
      </c>
      <c r="F29" s="122">
        <f t="shared" si="1"/>
        <v>1.5119764542488761</v>
      </c>
      <c r="G29" s="122">
        <f t="shared" si="6"/>
        <v>0.75598822712443803</v>
      </c>
      <c r="H29" s="122">
        <f t="shared" si="2"/>
        <v>-0.75598822712443803</v>
      </c>
      <c r="I29" s="90"/>
      <c r="J29" s="90"/>
      <c r="K29" s="118">
        <f t="shared" si="8"/>
        <v>2</v>
      </c>
      <c r="L29" s="122">
        <f>F28</f>
        <v>1.50492417241244</v>
      </c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</row>
    <row r="30" spans="1:23">
      <c r="A30" s="122">
        <f t="shared" si="0"/>
        <v>0.22654306423516482</v>
      </c>
      <c r="B30" s="122">
        <f t="shared" si="3"/>
        <v>2.25</v>
      </c>
      <c r="C30" s="68">
        <f t="shared" si="4"/>
        <v>270.43021708605676</v>
      </c>
      <c r="D30" s="147" t="str">
        <f t="shared" si="7"/>
        <v>1.62°</v>
      </c>
      <c r="E30" s="68">
        <f t="shared" si="5"/>
        <v>38.584169314839492</v>
      </c>
      <c r="F30" s="122">
        <f t="shared" si="1"/>
        <v>1.519061784048799</v>
      </c>
      <c r="G30" s="122">
        <f t="shared" si="6"/>
        <v>0.7595308920243995</v>
      </c>
      <c r="H30" s="122">
        <f t="shared" si="2"/>
        <v>-0.7595308920243995</v>
      </c>
      <c r="I30" s="90"/>
      <c r="J30" s="90"/>
      <c r="K30" s="118">
        <f t="shared" si="8"/>
        <v>2.5</v>
      </c>
      <c r="L30" s="122">
        <f>F32</f>
        <v>1.5333322077340601</v>
      </c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</row>
    <row r="31" spans="1:23">
      <c r="A31" s="122">
        <f t="shared" si="0"/>
        <v>0.22867126306390273</v>
      </c>
      <c r="B31" s="122">
        <f t="shared" si="3"/>
        <v>2.375</v>
      </c>
      <c r="C31" s="68">
        <f t="shared" si="4"/>
        <v>267.91337581992423</v>
      </c>
      <c r="D31" s="147" t="str">
        <f t="shared" si="7"/>
        <v>1.63°</v>
      </c>
      <c r="E31" s="68">
        <f t="shared" si="5"/>
        <v>38.764980043659683</v>
      </c>
      <c r="F31" s="122">
        <f t="shared" si="1"/>
        <v>1.5261803166795151</v>
      </c>
      <c r="G31" s="122">
        <f t="shared" si="6"/>
        <v>0.76309015833975757</v>
      </c>
      <c r="H31" s="122">
        <f t="shared" si="2"/>
        <v>-0.76309015833975757</v>
      </c>
      <c r="I31" s="90"/>
      <c r="J31" s="90"/>
      <c r="K31" s="118">
        <f t="shared" si="8"/>
        <v>3</v>
      </c>
      <c r="L31" s="122">
        <f>F36</f>
        <v>1.5622764936426723</v>
      </c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</row>
    <row r="32" spans="1:23">
      <c r="A32" s="122">
        <f t="shared" si="0"/>
        <v>0.23081945469299373</v>
      </c>
      <c r="B32" s="122">
        <f t="shared" si="3"/>
        <v>2.5</v>
      </c>
      <c r="C32" s="68">
        <f t="shared" si="4"/>
        <v>265.41995830438867</v>
      </c>
      <c r="D32" s="147" t="str">
        <f t="shared" si="7"/>
        <v>1.64°</v>
      </c>
      <c r="E32" s="68">
        <f t="shared" si="5"/>
        <v>38.946638076445126</v>
      </c>
      <c r="F32" s="122">
        <f t="shared" si="1"/>
        <v>1.5333322077340601</v>
      </c>
      <c r="G32" s="122">
        <f t="shared" si="6"/>
        <v>0.76666610386703005</v>
      </c>
      <c r="H32" s="122">
        <f t="shared" si="2"/>
        <v>-0.76666610386703005</v>
      </c>
      <c r="I32" s="90"/>
      <c r="J32" s="90"/>
      <c r="K32" s="118">
        <f t="shared" si="8"/>
        <v>3.5</v>
      </c>
      <c r="L32" s="122">
        <f>F40</f>
        <v>1.5917671527915604</v>
      </c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</row>
    <row r="33" spans="1:23">
      <c r="A33" s="122">
        <f t="shared" si="0"/>
        <v>0.23298782693950676</v>
      </c>
      <c r="B33" s="122">
        <f t="shared" si="3"/>
        <v>2.625</v>
      </c>
      <c r="C33" s="68">
        <f t="shared" si="4"/>
        <v>262.94974653917353</v>
      </c>
      <c r="D33" s="147" t="str">
        <f t="shared" si="7"/>
        <v>1.65°</v>
      </c>
      <c r="E33" s="68">
        <f t="shared" si="5"/>
        <v>39.129147383778843</v>
      </c>
      <c r="F33" s="122">
        <f t="shared" si="1"/>
        <v>1.5405176135346001</v>
      </c>
      <c r="G33" s="122">
        <f t="shared" si="6"/>
        <v>0.77025880676730007</v>
      </c>
      <c r="H33" s="122">
        <f t="shared" si="2"/>
        <v>-0.77025880676730007</v>
      </c>
      <c r="I33" s="90"/>
      <c r="J33" s="90"/>
      <c r="K33" s="118">
        <f t="shared" si="8"/>
        <v>4</v>
      </c>
      <c r="L33" s="122">
        <f>F44</f>
        <v>1.6218144989165215</v>
      </c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</row>
    <row r="34" spans="1:23">
      <c r="A34" s="122">
        <f t="shared" si="0"/>
        <v>0.23517656938490836</v>
      </c>
      <c r="B34" s="122">
        <f t="shared" si="3"/>
        <v>2.75</v>
      </c>
      <c r="C34" s="68">
        <f t="shared" si="4"/>
        <v>260.50252455288836</v>
      </c>
      <c r="D34" s="147" t="str">
        <f t="shared" si="7"/>
        <v>1.65°</v>
      </c>
      <c r="E34" s="68">
        <f t="shared" si="5"/>
        <v>39.31251195485055</v>
      </c>
      <c r="F34" s="122">
        <f t="shared" si="1"/>
        <v>1.5477366911358486</v>
      </c>
      <c r="G34" s="122">
        <f t="shared" si="6"/>
        <v>0.77386834556792428</v>
      </c>
      <c r="H34" s="122">
        <f t="shared" si="2"/>
        <v>-0.77386834556792428</v>
      </c>
      <c r="I34" s="90"/>
      <c r="J34" s="90"/>
      <c r="K34" s="118">
        <f t="shared" si="8"/>
        <v>4.5</v>
      </c>
      <c r="L34" s="122">
        <f>F48</f>
        <v>1.652429040442877</v>
      </c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</row>
    <row r="35" spans="1:23">
      <c r="A35" s="122">
        <f t="shared" si="0"/>
        <v>0.23738587339163791</v>
      </c>
      <c r="B35" s="122">
        <f t="shared" si="3"/>
        <v>2.875</v>
      </c>
      <c r="C35" s="68">
        <f t="shared" si="4"/>
        <v>258.07807838414618</v>
      </c>
      <c r="D35" s="147" t="str">
        <f t="shared" si="7"/>
        <v>1.66°</v>
      </c>
      <c r="E35" s="68">
        <f t="shared" si="5"/>
        <v>39.496735797543856</v>
      </c>
      <c r="F35" s="122">
        <f t="shared" si="1"/>
        <v>1.5549895983284983</v>
      </c>
      <c r="G35" s="122">
        <f t="shared" si="6"/>
        <v>0.77749479916424913</v>
      </c>
      <c r="H35" s="122">
        <f t="shared" si="2"/>
        <v>-0.77749479916424913</v>
      </c>
      <c r="I35" s="90"/>
      <c r="J35" s="90"/>
      <c r="K35" s="118">
        <f t="shared" si="8"/>
        <v>5</v>
      </c>
      <c r="L35" s="122">
        <f>F52</f>
        <v>1.6836214841605708</v>
      </c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</row>
    <row r="36" spans="1:23">
      <c r="A36" s="122">
        <f t="shared" si="0"/>
        <v>0.23961593211983889</v>
      </c>
      <c r="B36" s="122">
        <f t="shared" si="3"/>
        <v>3</v>
      </c>
      <c r="C36" s="68">
        <f t="shared" si="4"/>
        <v>255.67619606285697</v>
      </c>
      <c r="D36" s="147" t="str">
        <f t="shared" si="7"/>
        <v>1.67°</v>
      </c>
      <c r="E36" s="68">
        <f t="shared" si="5"/>
        <v>39.681822938523872</v>
      </c>
      <c r="F36" s="122">
        <f t="shared" si="1"/>
        <v>1.5622764936426723</v>
      </c>
      <c r="G36" s="122">
        <f t="shared" si="6"/>
        <v>0.78113824682133615</v>
      </c>
      <c r="H36" s="122">
        <f t="shared" si="2"/>
        <v>-0.78113824682133615</v>
      </c>
      <c r="I36" s="90"/>
      <c r="J36" s="90"/>
      <c r="K36" s="118">
        <f t="shared" si="8"/>
        <v>5.5</v>
      </c>
      <c r="L36" s="122">
        <f>F56</f>
        <v>1.7154027389686464</v>
      </c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</row>
    <row r="37" spans="1:23">
      <c r="A37" s="122">
        <f t="shared" si="0"/>
        <v>0.24186694054424604</v>
      </c>
      <c r="B37" s="122">
        <f t="shared" si="3"/>
        <v>3.125</v>
      </c>
      <c r="C37" s="68">
        <f t="shared" si="4"/>
        <v>253.29666759169501</v>
      </c>
      <c r="D37" s="147" t="str">
        <f t="shared" si="7"/>
        <v>1.68°</v>
      </c>
      <c r="E37" s="68">
        <f t="shared" si="5"/>
        <v>39.867777423325201</v>
      </c>
      <c r="F37" s="122">
        <f t="shared" si="1"/>
        <v>1.5695975363513859</v>
      </c>
      <c r="G37" s="122">
        <f t="shared" si="6"/>
        <v>0.78479876817569294</v>
      </c>
      <c r="H37" s="122">
        <f t="shared" si="2"/>
        <v>-0.78479876817569294</v>
      </c>
      <c r="I37" s="90"/>
      <c r="J37" s="90"/>
      <c r="K37" s="118">
        <f t="shared" si="8"/>
        <v>6</v>
      </c>
      <c r="L37" s="122">
        <f>F60</f>
        <v>1.7477839196904019</v>
      </c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</row>
    <row r="38" spans="1:23">
      <c r="A38" s="122">
        <f t="shared" si="0"/>
        <v>0.24413909547123314</v>
      </c>
      <c r="B38" s="122">
        <f t="shared" si="3"/>
        <v>3.25</v>
      </c>
      <c r="C38" s="68">
        <f t="shared" si="4"/>
        <v>250.93928492773864</v>
      </c>
      <c r="D38" s="147" t="str">
        <f t="shared" si="7"/>
        <v>1.69°</v>
      </c>
      <c r="E38" s="68">
        <f t="shared" si="5"/>
        <v>40.054603316440392</v>
      </c>
      <c r="F38" s="122">
        <f t="shared" si="1"/>
        <v>1.5769528864740312</v>
      </c>
      <c r="G38" s="122">
        <f t="shared" si="6"/>
        <v>0.7884764432370156</v>
      </c>
      <c r="H38" s="122">
        <f t="shared" si="2"/>
        <v>-0.7884764432370156</v>
      </c>
      <c r="I38" s="90"/>
      <c r="J38" s="90"/>
      <c r="K38" s="118">
        <f t="shared" si="8"/>
        <v>6.5</v>
      </c>
      <c r="L38" s="122">
        <f>F64</f>
        <v>1.7807763509605647</v>
      </c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</row>
    <row r="39" spans="1:23">
      <c r="A39" s="122">
        <f t="shared" si="0"/>
        <v>0.2464325955560191</v>
      </c>
      <c r="B39" s="122">
        <f t="shared" si="3"/>
        <v>3.375</v>
      </c>
      <c r="C39" s="68">
        <f t="shared" si="4"/>
        <v>248.60384196428114</v>
      </c>
      <c r="D39" s="147" t="str">
        <f t="shared" si="7"/>
        <v>1.69°</v>
      </c>
      <c r="E39" s="68">
        <f t="shared" si="5"/>
        <v>40.242304701408756</v>
      </c>
      <c r="F39" s="122">
        <f t="shared" si="1"/>
        <v>1.5843427047798724</v>
      </c>
      <c r="G39" s="122">
        <f t="shared" si="6"/>
        <v>0.79217135238993619</v>
      </c>
      <c r="H39" s="122">
        <f t="shared" si="2"/>
        <v>-0.79217135238993619</v>
      </c>
      <c r="I39" s="90"/>
      <c r="J39" s="90"/>
      <c r="K39" s="118">
        <f t="shared" si="8"/>
        <v>7</v>
      </c>
      <c r="L39" s="122">
        <f>F68</f>
        <v>1.814391571185846</v>
      </c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</row>
    <row r="40" spans="1:23">
      <c r="A40" s="122">
        <f t="shared" si="0"/>
        <v>0.24874764132003652</v>
      </c>
      <c r="B40" s="122">
        <f t="shared" si="3"/>
        <v>3.5</v>
      </c>
      <c r="C40" s="68">
        <f t="shared" si="4"/>
        <v>246.29013451281068</v>
      </c>
      <c r="D40" s="147" t="str">
        <f t="shared" si="7"/>
        <v>1.7°</v>
      </c>
      <c r="E40" s="68">
        <f t="shared" si="5"/>
        <v>40.430885680905632</v>
      </c>
      <c r="F40" s="122">
        <f t="shared" si="1"/>
        <v>1.5917671527915604</v>
      </c>
      <c r="G40" s="122">
        <f t="shared" si="6"/>
        <v>0.79588357639578022</v>
      </c>
      <c r="H40" s="122">
        <f t="shared" si="2"/>
        <v>-0.79588357639578022</v>
      </c>
      <c r="I40" s="90"/>
      <c r="J40" s="90"/>
      <c r="K40" s="118">
        <f t="shared" si="8"/>
        <v>7.5</v>
      </c>
      <c r="L40" s="122">
        <f>F72</f>
        <v>1.8486413365802528</v>
      </c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1" spans="1:23">
      <c r="A41" s="122">
        <f t="shared" si="0"/>
        <v>0.25108443516846385</v>
      </c>
      <c r="B41" s="122">
        <f t="shared" si="3"/>
        <v>3.625</v>
      </c>
      <c r="C41" s="68">
        <f t="shared" si="4"/>
        <v>243.99796028515803</v>
      </c>
      <c r="D41" s="147" t="str">
        <f t="shared" si="7"/>
        <v>1.71°</v>
      </c>
      <c r="E41" s="68">
        <f t="shared" si="5"/>
        <v>40.620350376832072</v>
      </c>
      <c r="F41" s="122">
        <f t="shared" si="1"/>
        <v>1.5992263927886643</v>
      </c>
      <c r="G41" s="122">
        <f t="shared" si="6"/>
        <v>0.79961319639433215</v>
      </c>
      <c r="H41" s="122">
        <f t="shared" si="2"/>
        <v>-0.79961319639433215</v>
      </c>
      <c r="I41" s="90"/>
      <c r="J41" s="90"/>
      <c r="K41" s="118">
        <f t="shared" si="8"/>
        <v>8</v>
      </c>
      <c r="L41" s="122">
        <f>F76</f>
        <v>1.8835376252765754</v>
      </c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</row>
    <row r="42" spans="1:23">
      <c r="A42" s="122">
        <f t="shared" si="0"/>
        <v>0.25344318140792116</v>
      </c>
      <c r="B42" s="122">
        <f t="shared" si="3"/>
        <v>3.75</v>
      </c>
      <c r="C42" s="68">
        <f t="shared" si="4"/>
        <v>241.72711887581053</v>
      </c>
      <c r="D42" s="147" t="str">
        <f t="shared" si="7"/>
        <v>1.72°</v>
      </c>
      <c r="E42" s="68">
        <f t="shared" si="5"/>
        <v>40.810702930404908</v>
      </c>
      <c r="F42" s="122">
        <f t="shared" si="1"/>
        <v>1.606720587811217</v>
      </c>
      <c r="G42" s="122">
        <f t="shared" si="6"/>
        <v>0.80336029390560848</v>
      </c>
      <c r="H42" s="122">
        <f t="shared" si="2"/>
        <v>-0.80336029390560848</v>
      </c>
      <c r="I42" s="90"/>
      <c r="J42" s="90"/>
      <c r="K42" s="118">
        <f t="shared" si="8"/>
        <v>8.5</v>
      </c>
      <c r="L42" s="122">
        <f>F80</f>
        <v>1.9190926415154888</v>
      </c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</row>
    <row r="43" spans="1:23">
      <c r="A43" s="122">
        <f t="shared" si="0"/>
        <v>0.25582408626433306</v>
      </c>
      <c r="B43" s="122">
        <f t="shared" si="3"/>
        <v>3.875</v>
      </c>
      <c r="C43" s="68">
        <f t="shared" si="4"/>
        <v>239.47741174439054</v>
      </c>
      <c r="D43" s="147" t="str">
        <f t="shared" si="7"/>
        <v>1.73°</v>
      </c>
      <c r="E43" s="68">
        <f t="shared" si="5"/>
        <v>41.001947502247297</v>
      </c>
      <c r="F43" s="122">
        <f t="shared" si="1"/>
        <v>1.6142499016632794</v>
      </c>
      <c r="G43" s="122">
        <f t="shared" si="6"/>
        <v>0.80712495083163971</v>
      </c>
      <c r="H43" s="122">
        <f t="shared" si="2"/>
        <v>-0.80712495083163971</v>
      </c>
      <c r="I43" s="90"/>
      <c r="J43" s="90"/>
      <c r="K43" s="118">
        <f t="shared" si="8"/>
        <v>9</v>
      </c>
      <c r="L43" s="122">
        <f>F84</f>
        <v>1.9553188199137264</v>
      </c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</row>
    <row r="44" spans="1:23">
      <c r="A44" s="122">
        <f t="shared" ref="A44:A75" si="9">$B$13*PI()*G44^2</f>
        <v>0.25822735790095896</v>
      </c>
      <c r="B44" s="122">
        <f t="shared" si="3"/>
        <v>4</v>
      </c>
      <c r="C44" s="68">
        <f t="shared" si="4"/>
        <v>237.24864219829692</v>
      </c>
      <c r="D44" s="147" t="str">
        <f t="shared" si="7"/>
        <v>1.73°</v>
      </c>
      <c r="E44" s="68">
        <f t="shared" si="5"/>
        <v>41.194088272479647</v>
      </c>
      <c r="F44" s="122">
        <f t="shared" ref="F44:F75" si="10">E44/25.4</f>
        <v>1.6218144989165215</v>
      </c>
      <c r="G44" s="122">
        <f t="shared" si="6"/>
        <v>0.81090724945826076</v>
      </c>
      <c r="H44" s="122">
        <f t="shared" si="2"/>
        <v>-0.81090724945826076</v>
      </c>
      <c r="I44" s="90"/>
      <c r="J44" s="90"/>
      <c r="K44" s="118">
        <f t="shared" si="8"/>
        <v>9.5</v>
      </c>
      <c r="L44" s="122">
        <f>F88</f>
        <v>1.9922288298128261</v>
      </c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</row>
    <row r="45" spans="1:23">
      <c r="A45" s="122">
        <f t="shared" si="9"/>
        <v>0.26065320643659301</v>
      </c>
      <c r="B45" s="122">
        <f t="shared" si="3"/>
        <v>4.125</v>
      </c>
      <c r="C45" s="68">
        <f t="shared" si="4"/>
        <v>235.04061537550822</v>
      </c>
      <c r="D45" s="147" t="str">
        <f t="shared" si="7"/>
        <v>1.74°</v>
      </c>
      <c r="E45" s="68">
        <f t="shared" ref="E45:E76" si="11">$E$10*E44</f>
        <v>41.387129440810973</v>
      </c>
      <c r="F45" s="122">
        <f t="shared" si="10"/>
        <v>1.629414544913818</v>
      </c>
      <c r="G45" s="122">
        <f t="shared" si="6"/>
        <v>0.81470727245690899</v>
      </c>
      <c r="H45" s="122">
        <f t="shared" si="2"/>
        <v>-0.81470727245690899</v>
      </c>
      <c r="I45" s="90"/>
      <c r="J45" s="90"/>
      <c r="K45" s="118">
        <f t="shared" si="8"/>
        <v>10</v>
      </c>
      <c r="L45" s="122">
        <f>F92</f>
        <v>2.0298355797099652</v>
      </c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</row>
    <row r="46" spans="1:23">
      <c r="A46" s="122">
        <f t="shared" si="9"/>
        <v>0.26310184396393432</v>
      </c>
      <c r="B46" s="122">
        <f t="shared" si="3"/>
        <v>4.25</v>
      </c>
      <c r="C46" s="68">
        <f t="shared" si="4"/>
        <v>232.85313822754583</v>
      </c>
      <c r="D46" s="147" t="str">
        <f t="shared" si="7"/>
        <v>1.75°</v>
      </c>
      <c r="E46" s="68">
        <f t="shared" si="11"/>
        <v>41.581075226630716</v>
      </c>
      <c r="F46" s="122">
        <f t="shared" si="10"/>
        <v>1.6370502057728629</v>
      </c>
      <c r="G46" s="122">
        <f t="shared" si="6"/>
        <v>0.81852510288643143</v>
      </c>
      <c r="H46" s="122">
        <f t="shared" si="2"/>
        <v>-0.81852510288643143</v>
      </c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</row>
    <row r="47" spans="1:23">
      <c r="A47" s="122">
        <f t="shared" si="9"/>
        <v>0.26557348456813124</v>
      </c>
      <c r="B47" s="122">
        <f t="shared" si="3"/>
        <v>4.375</v>
      </c>
      <c r="C47" s="68">
        <f t="shared" si="4"/>
        <v>230.68601950259563</v>
      </c>
      <c r="D47" s="147" t="str">
        <f t="shared" si="7"/>
        <v>1.76°</v>
      </c>
      <c r="E47" s="68">
        <f t="shared" si="11"/>
        <v>41.775929869100956</v>
      </c>
      <c r="F47" s="122">
        <f t="shared" si="10"/>
        <v>1.6447216483898015</v>
      </c>
      <c r="G47" s="122">
        <f t="shared" si="6"/>
        <v>0.82236082419490075</v>
      </c>
      <c r="H47" s="122">
        <f t="shared" si="2"/>
        <v>-0.82236082419490075</v>
      </c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</row>
    <row r="48" spans="1:23">
      <c r="A48" s="122">
        <f t="shared" si="9"/>
        <v>0.26806834434549814</v>
      </c>
      <c r="B48" s="122">
        <f t="shared" si="3"/>
        <v>4.5</v>
      </c>
      <c r="C48" s="68">
        <f t="shared" si="4"/>
        <v>228.53906972878681</v>
      </c>
      <c r="D48" s="147" t="str">
        <f t="shared" si="7"/>
        <v>1.77°</v>
      </c>
      <c r="E48" s="68">
        <f t="shared" si="11"/>
        <v>41.971697627249071</v>
      </c>
      <c r="F48" s="122">
        <f t="shared" si="10"/>
        <v>1.652429040442877</v>
      </c>
      <c r="G48" s="122">
        <f t="shared" si="6"/>
        <v>0.82621452022143849</v>
      </c>
      <c r="H48" s="122">
        <f t="shared" si="2"/>
        <v>-0.82621452022143849</v>
      </c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</row>
    <row r="49" spans="1:23">
      <c r="A49" s="122">
        <f t="shared" si="9"/>
        <v>0.27058664142240874</v>
      </c>
      <c r="B49" s="122">
        <f t="shared" si="3"/>
        <v>4.625</v>
      </c>
      <c r="C49" s="68">
        <f t="shared" si="4"/>
        <v>226.4121011976263</v>
      </c>
      <c r="D49" s="147" t="str">
        <f t="shared" si="7"/>
        <v>1.77°</v>
      </c>
      <c r="E49" s="68">
        <f t="shared" si="11"/>
        <v>42.168382780060817</v>
      </c>
      <c r="F49" s="122">
        <f t="shared" si="10"/>
        <v>1.6601725503960953</v>
      </c>
      <c r="G49" s="122">
        <f t="shared" si="6"/>
        <v>0.83008627519804767</v>
      </c>
      <c r="H49" s="122">
        <f t="shared" si="2"/>
        <v>-0.83008627519804767</v>
      </c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</row>
    <row r="50" spans="1:23">
      <c r="A50" s="122">
        <f t="shared" si="9"/>
        <v>0.27312859597436762</v>
      </c>
      <c r="B50" s="122">
        <f t="shared" si="3"/>
        <v>4.75</v>
      </c>
      <c r="C50" s="68">
        <f t="shared" si="4"/>
        <v>224.30492794758737</v>
      </c>
      <c r="D50" s="147" t="str">
        <f t="shared" si="7"/>
        <v>1.78°</v>
      </c>
      <c r="E50" s="68">
        <f t="shared" si="11"/>
        <v>42.365989626573878</v>
      </c>
      <c r="F50" s="122">
        <f t="shared" si="10"/>
        <v>1.6679523475029088</v>
      </c>
      <c r="G50" s="122">
        <f t="shared" si="6"/>
        <v>0.83397617375145439</v>
      </c>
      <c r="H50" s="122">
        <f t="shared" si="2"/>
        <v>-0.83397617375145439</v>
      </c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</row>
    <row r="51" spans="1:23">
      <c r="A51" s="122">
        <f t="shared" si="9"/>
        <v>0.27569443024525958</v>
      </c>
      <c r="B51" s="122">
        <f t="shared" si="3"/>
        <v>4.875</v>
      </c>
      <c r="C51" s="68">
        <f t="shared" si="4"/>
        <v>222.21736574785095</v>
      </c>
      <c r="D51" s="147" t="str">
        <f t="shared" si="7"/>
        <v>1.79°</v>
      </c>
      <c r="E51" s="68">
        <f t="shared" si="11"/>
        <v>42.564522485971821</v>
      </c>
      <c r="F51" s="122">
        <f t="shared" si="10"/>
        <v>1.6757686018099143</v>
      </c>
      <c r="G51" s="122">
        <f t="shared" si="6"/>
        <v>0.83788430090495714</v>
      </c>
      <c r="H51" s="122">
        <f t="shared" si="2"/>
        <v>-0.83788430090495714</v>
      </c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</row>
    <row r="52" spans="1:23">
      <c r="A52" s="122">
        <f t="shared" si="9"/>
        <v>0.2782843685667809</v>
      </c>
      <c r="B52" s="122">
        <f t="shared" si="3"/>
        <v>5</v>
      </c>
      <c r="C52" s="68">
        <f t="shared" si="4"/>
        <v>220.14923208219821</v>
      </c>
      <c r="D52" s="147" t="str">
        <f t="shared" si="7"/>
        <v>1.8°</v>
      </c>
      <c r="E52" s="68">
        <f t="shared" si="11"/>
        <v>42.763985697678493</v>
      </c>
      <c r="F52" s="122">
        <f t="shared" si="10"/>
        <v>1.6836214841605708</v>
      </c>
      <c r="G52" s="122">
        <f t="shared" si="6"/>
        <v>0.84181074208028539</v>
      </c>
      <c r="H52" s="122">
        <f t="shared" si="2"/>
        <v>-0.84181074208028539</v>
      </c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</row>
    <row r="53" spans="1:23">
      <c r="A53" s="122">
        <f t="shared" si="9"/>
        <v>0.28089863737805237</v>
      </c>
      <c r="B53" s="122">
        <f t="shared" si="3"/>
        <v>5.125</v>
      </c>
      <c r="C53" s="68">
        <f t="shared" si="4"/>
        <v>218.10034613305319</v>
      </c>
      <c r="D53" s="147" t="str">
        <f t="shared" si="7"/>
        <v>1.81°</v>
      </c>
      <c r="E53" s="68">
        <f t="shared" si="11"/>
        <v>42.964383621452882</v>
      </c>
      <c r="F53" s="122">
        <f t="shared" si="10"/>
        <v>1.6915111661989324</v>
      </c>
      <c r="G53" s="122">
        <f t="shared" si="6"/>
        <v>0.84575558309946619</v>
      </c>
      <c r="H53" s="122">
        <f t="shared" si="2"/>
        <v>-0.84575558309946619</v>
      </c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</row>
    <row r="54" spans="1:23">
      <c r="A54" s="122">
        <f t="shared" si="9"/>
        <v>0.28353746524541756</v>
      </c>
      <c r="B54" s="122">
        <f t="shared" si="3"/>
        <v>5.25</v>
      </c>
      <c r="C54" s="68">
        <f t="shared" si="4"/>
        <v>216.07052876567383</v>
      </c>
      <c r="D54" s="147" t="str">
        <f t="shared" si="7"/>
        <v>1.82°</v>
      </c>
      <c r="E54" s="68">
        <f t="shared" si="11"/>
        <v>43.165720637484412</v>
      </c>
      <c r="F54" s="122">
        <f t="shared" si="10"/>
        <v>1.6994378203734022</v>
      </c>
      <c r="G54" s="122">
        <f t="shared" si="6"/>
        <v>0.84971891018670109</v>
      </c>
      <c r="H54" s="122">
        <f t="shared" si="2"/>
        <v>-0.84971891018670109</v>
      </c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</row>
    <row r="55" spans="1:23">
      <c r="A55" s="122">
        <f t="shared" si="9"/>
        <v>0.28620108288242552</v>
      </c>
      <c r="B55" s="122">
        <f t="shared" si="3"/>
        <v>5.375</v>
      </c>
      <c r="C55" s="68">
        <f t="shared" si="4"/>
        <v>214.05960251249013</v>
      </c>
      <c r="D55" s="147" t="str">
        <f t="shared" si="7"/>
        <v>1.82°</v>
      </c>
      <c r="E55" s="68">
        <f t="shared" si="11"/>
        <v>43.368001146488673</v>
      </c>
      <c r="F55" s="122">
        <f t="shared" si="10"/>
        <v>1.7074016199404991</v>
      </c>
      <c r="G55" s="122">
        <f t="shared" si="6"/>
        <v>0.85370080997024955</v>
      </c>
      <c r="H55" s="122">
        <f t="shared" si="2"/>
        <v>-0.85370080997024955</v>
      </c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</row>
    <row r="56" spans="1:23">
      <c r="A56" s="122">
        <f t="shared" si="9"/>
        <v>0.28888972317000294</v>
      </c>
      <c r="B56" s="122">
        <f t="shared" si="3"/>
        <v>5.5</v>
      </c>
      <c r="C56" s="68">
        <f t="shared" si="4"/>
        <v>212.06739155758817</v>
      </c>
      <c r="D56" s="147" t="str">
        <f t="shared" si="7"/>
        <v>1.83°</v>
      </c>
      <c r="E56" s="68">
        <f t="shared" si="11"/>
        <v>43.571229569803613</v>
      </c>
      <c r="F56" s="122">
        <f t="shared" si="10"/>
        <v>1.7154027389686464</v>
      </c>
      <c r="G56" s="122">
        <f t="shared" si="6"/>
        <v>0.85770136948432318</v>
      </c>
      <c r="H56" s="122">
        <f t="shared" si="2"/>
        <v>-0.85770136948432318</v>
      </c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</row>
    <row r="57" spans="1:23">
      <c r="A57" s="122">
        <f t="shared" si="9"/>
        <v>0.29160362117681454</v>
      </c>
      <c r="B57" s="122">
        <f t="shared" si="3"/>
        <v>5.625</v>
      </c>
      <c r="C57" s="68">
        <f t="shared" si="4"/>
        <v>210.09372172133843</v>
      </c>
      <c r="D57" s="147" t="str">
        <f t="shared" si="7"/>
        <v>1.84°</v>
      </c>
      <c r="E57" s="68">
        <f t="shared" si="11"/>
        <v>43.775410349486179</v>
      </c>
      <c r="F57" s="122">
        <f t="shared" si="10"/>
        <v>1.7234413523419756</v>
      </c>
      <c r="G57" s="122">
        <f t="shared" si="6"/>
        <v>0.8617206761709878</v>
      </c>
      <c r="H57" s="122">
        <f t="shared" si="2"/>
        <v>-0.8617206761709878</v>
      </c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</row>
    <row r="58" spans="1:23">
      <c r="A58" s="122">
        <f t="shared" si="9"/>
        <v>0.29434301417981557</v>
      </c>
      <c r="B58" s="122">
        <f t="shared" si="3"/>
        <v>5.75</v>
      </c>
      <c r="C58" s="68">
        <f t="shared" si="4"/>
        <v>208.13842044516721</v>
      </c>
      <c r="D58" s="147" t="str">
        <f t="shared" si="7"/>
        <v>1.85°</v>
      </c>
      <c r="E58" s="68">
        <f t="shared" si="11"/>
        <v>43.980547948409409</v>
      </c>
      <c r="F58" s="122">
        <f t="shared" si="10"/>
        <v>1.73151763576415</v>
      </c>
      <c r="G58" s="122">
        <f t="shared" si="6"/>
        <v>0.86575881788207498</v>
      </c>
      <c r="H58" s="122">
        <f t="shared" si="2"/>
        <v>-0.86575881788207498</v>
      </c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</row>
    <row r="59" spans="1:23">
      <c r="A59" s="122">
        <f t="shared" si="9"/>
        <v>0.29710814168499672</v>
      </c>
      <c r="B59" s="122">
        <f t="shared" si="3"/>
        <v>5.875</v>
      </c>
      <c r="C59" s="68">
        <f t="shared" si="4"/>
        <v>206.20131677646981</v>
      </c>
      <c r="D59" s="147" t="str">
        <f t="shared" si="7"/>
        <v>1.86°</v>
      </c>
      <c r="E59" s="68">
        <f t="shared" si="11"/>
        <v>44.186646850359978</v>
      </c>
      <c r="F59" s="122">
        <f t="shared" si="10"/>
        <v>1.739631765762204</v>
      </c>
      <c r="G59" s="122">
        <f t="shared" si="6"/>
        <v>0.86981588288110201</v>
      </c>
      <c r="H59" s="122">
        <f t="shared" si="2"/>
        <v>-0.86981588288110201</v>
      </c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</row>
    <row r="60" spans="1:23">
      <c r="A60" s="122">
        <f t="shared" si="9"/>
        <v>0.29989924544832425</v>
      </c>
      <c r="B60" s="122">
        <f t="shared" si="3"/>
        <v>6</v>
      </c>
      <c r="C60" s="68">
        <f t="shared" si="4"/>
        <v>204.28224135366403</v>
      </c>
      <c r="D60" s="147" t="str">
        <f t="shared" si="7"/>
        <v>1.87°</v>
      </c>
      <c r="E60" s="68">
        <f t="shared" si="11"/>
        <v>44.393711560136204</v>
      </c>
      <c r="F60" s="122">
        <f t="shared" si="10"/>
        <v>1.7477839196904019</v>
      </c>
      <c r="G60" s="122">
        <f t="shared" si="6"/>
        <v>0.87389195984520096</v>
      </c>
      <c r="H60" s="122">
        <f t="shared" si="2"/>
        <v>-0.87389195984520096</v>
      </c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</row>
    <row r="61" spans="1:23">
      <c r="A61" s="122">
        <f t="shared" si="9"/>
        <v>0.30271656949687664</v>
      </c>
      <c r="B61" s="122">
        <f t="shared" si="3"/>
        <v>6.125</v>
      </c>
      <c r="C61" s="68">
        <f t="shared" si="4"/>
        <v>202.3810263913829</v>
      </c>
      <c r="D61" s="147" t="str">
        <f t="shared" si="7"/>
        <v>1.88°</v>
      </c>
      <c r="E61" s="68">
        <f t="shared" si="11"/>
        <v>44.601746603646504</v>
      </c>
      <c r="F61" s="122">
        <f t="shared" si="10"/>
        <v>1.7559742757341144</v>
      </c>
      <c r="G61" s="122">
        <f t="shared" si="6"/>
        <v>0.87798713786705718</v>
      </c>
      <c r="H61" s="122">
        <f t="shared" si="2"/>
        <v>-0.87798713786705718</v>
      </c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</row>
    <row r="62" spans="1:23">
      <c r="A62" s="122">
        <f t="shared" si="9"/>
        <v>0.30556036015018062</v>
      </c>
      <c r="B62" s="122">
        <f t="shared" si="3"/>
        <v>6.25</v>
      </c>
      <c r="C62" s="68">
        <f t="shared" si="4"/>
        <v>200.49750566580514</v>
      </c>
      <c r="D62" s="147" t="str">
        <f t="shared" si="7"/>
        <v>1.89°</v>
      </c>
      <c r="E62" s="68">
        <f t="shared" si="11"/>
        <v>44.810756528008334</v>
      </c>
      <c r="F62" s="122">
        <f t="shared" si="10"/>
        <v>1.7642030129137141</v>
      </c>
      <c r="G62" s="122">
        <f t="shared" si="6"/>
        <v>0.88210150645685703</v>
      </c>
      <c r="H62" s="122">
        <f t="shared" si="2"/>
        <v>-0.88210150645685703</v>
      </c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</row>
    <row r="63" spans="1:23">
      <c r="A63" s="122">
        <f t="shared" si="9"/>
        <v>0.30843086604174608</v>
      </c>
      <c r="B63" s="122">
        <f t="shared" si="3"/>
        <v>6.375</v>
      </c>
      <c r="C63" s="68">
        <f t="shared" si="4"/>
        <v>198.63151450012208</v>
      </c>
      <c r="D63" s="147" t="str">
        <f t="shared" si="7"/>
        <v>1.89°</v>
      </c>
      <c r="E63" s="68">
        <f t="shared" si="11"/>
        <v>45.020745901647565</v>
      </c>
      <c r="F63" s="122">
        <f t="shared" si="10"/>
        <v>1.772470311088487</v>
      </c>
      <c r="G63" s="122">
        <f t="shared" si="6"/>
        <v>0.88623515554424348</v>
      </c>
      <c r="H63" s="122">
        <f t="shared" si="2"/>
        <v>-0.88623515554424348</v>
      </c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</row>
    <row r="64" spans="1:23">
      <c r="A64" s="122">
        <f t="shared" si="9"/>
        <v>0.31132833814080479</v>
      </c>
      <c r="B64" s="122">
        <f t="shared" si="3"/>
        <v>6.5</v>
      </c>
      <c r="C64" s="68">
        <f t="shared" si="4"/>
        <v>196.78288975014001</v>
      </c>
      <c r="D64" s="147" t="str">
        <f t="shared" si="7"/>
        <v>1.9°</v>
      </c>
      <c r="E64" s="68">
        <f t="shared" si="11"/>
        <v>45.23171931439834</v>
      </c>
      <c r="F64" s="122">
        <f t="shared" si="10"/>
        <v>1.7807763509605647</v>
      </c>
      <c r="G64" s="122">
        <f t="shared" si="6"/>
        <v>0.89038817548028237</v>
      </c>
      <c r="H64" s="122">
        <f t="shared" si="2"/>
        <v>-0.89038817548028237</v>
      </c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</row>
    <row r="65" spans="1:23">
      <c r="A65" s="122">
        <f t="shared" si="9"/>
        <v>0.31425302977425235</v>
      </c>
      <c r="B65" s="122">
        <f t="shared" si="3"/>
        <v>6.625</v>
      </c>
      <c r="C65" s="68">
        <f t="shared" si="4"/>
        <v>194.95146979001643</v>
      </c>
      <c r="D65" s="147" t="str">
        <f t="shared" si="7"/>
        <v>1.91°</v>
      </c>
      <c r="E65" s="68">
        <f t="shared" si="11"/>
        <v>45.443681377603397</v>
      </c>
      <c r="F65" s="122">
        <f t="shared" si="10"/>
        <v>1.789121314078874</v>
      </c>
      <c r="G65" s="122">
        <f t="shared" si="6"/>
        <v>0.89456065703943699</v>
      </c>
      <c r="H65" s="122">
        <f t="shared" si="2"/>
        <v>-0.89456065703943699</v>
      </c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</row>
    <row r="66" spans="1:23">
      <c r="A66" s="122">
        <f t="shared" si="9"/>
        <v>0.31720519664879698</v>
      </c>
      <c r="B66" s="122">
        <f t="shared" si="3"/>
        <v>6.75</v>
      </c>
      <c r="C66" s="68">
        <f t="shared" si="4"/>
        <v>193.13709449812899</v>
      </c>
      <c r="D66" s="147" t="str">
        <f t="shared" si="7"/>
        <v>1.92°</v>
      </c>
      <c r="E66" s="68">
        <f t="shared" si="11"/>
        <v>45.656636724214856</v>
      </c>
      <c r="F66" s="122">
        <f t="shared" si="10"/>
        <v>1.7975053828431047</v>
      </c>
      <c r="G66" s="122">
        <f t="shared" si="6"/>
        <v>0.89875269142155234</v>
      </c>
      <c r="H66" s="122">
        <f t="shared" si="2"/>
        <v>-0.89875269142155234</v>
      </c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</row>
    <row r="67" spans="1:23">
      <c r="A67" s="122">
        <f t="shared" si="9"/>
        <v>0.32018509687331576</v>
      </c>
      <c r="B67" s="122">
        <f t="shared" si="3"/>
        <v>6.875</v>
      </c>
      <c r="C67" s="68">
        <f t="shared" si="4"/>
        <v>191.33960524307602</v>
      </c>
      <c r="D67" s="147" t="str">
        <f t="shared" si="7"/>
        <v>1.93°</v>
      </c>
      <c r="E67" s="68">
        <f t="shared" si="11"/>
        <v>45.870590008895498</v>
      </c>
      <c r="F67" s="122">
        <f t="shared" si="10"/>
        <v>1.8059287405076969</v>
      </c>
      <c r="G67" s="122">
        <f t="shared" si="6"/>
        <v>0.90296437025384846</v>
      </c>
      <c r="H67" s="122">
        <f t="shared" si="2"/>
        <v>-0.90296437025384846</v>
      </c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</row>
    <row r="68" spans="1:23">
      <c r="A68" s="122">
        <f t="shared" si="9"/>
        <v>0.32319299098142124</v>
      </c>
      <c r="B68" s="122">
        <f t="shared" si="3"/>
        <v>7</v>
      </c>
      <c r="C68" s="68">
        <f t="shared" si="4"/>
        <v>189.55884486980742</v>
      </c>
      <c r="D68" s="147" t="str">
        <f t="shared" si="7"/>
        <v>1.94°</v>
      </c>
      <c r="E68" s="68">
        <f t="shared" si="11"/>
        <v>46.085545908120487</v>
      </c>
      <c r="F68" s="122">
        <f t="shared" si="10"/>
        <v>1.814391571185846</v>
      </c>
      <c r="G68" s="122">
        <f t="shared" si="6"/>
        <v>0.90719578559292302</v>
      </c>
      <c r="H68" s="122">
        <f t="shared" si="2"/>
        <v>-0.90719578559292302</v>
      </c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</row>
    <row r="69" spans="1:23">
      <c r="A69" s="122">
        <f t="shared" si="9"/>
        <v>0.32622914195424013</v>
      </c>
      <c r="B69" s="122">
        <f t="shared" si="3"/>
        <v>7.125</v>
      </c>
      <c r="C69" s="68">
        <f t="shared" si="4"/>
        <v>187.7946576858844</v>
      </c>
      <c r="D69" s="147" t="str">
        <f t="shared" si="7"/>
        <v>1.95°</v>
      </c>
      <c r="E69" s="68">
        <f t="shared" si="11"/>
        <v>46.301509120279597</v>
      </c>
      <c r="F69" s="122">
        <f t="shared" si="10"/>
        <v>1.8228940598535275</v>
      </c>
      <c r="G69" s="122">
        <f t="shared" si="6"/>
        <v>0.91144702992676374</v>
      </c>
      <c r="H69" s="122">
        <f t="shared" si="2"/>
        <v>-0.91144702992676374</v>
      </c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</row>
    <row r="70" spans="1:23">
      <c r="A70" s="122">
        <f t="shared" si="9"/>
        <v>0.32929381524340556</v>
      </c>
      <c r="B70" s="122">
        <f t="shared" si="3"/>
        <v>7.25</v>
      </c>
      <c r="C70" s="68">
        <f t="shared" si="4"/>
        <v>186.04688944786736</v>
      </c>
      <c r="D70" s="147" t="str">
        <f t="shared" si="7"/>
        <v>1.96°</v>
      </c>
      <c r="E70" s="68">
        <f t="shared" si="11"/>
        <v>46.518484365779898</v>
      </c>
      <c r="F70" s="122">
        <f t="shared" si="10"/>
        <v>1.8314363923535395</v>
      </c>
      <c r="G70" s="122">
        <f t="shared" si="6"/>
        <v>0.91571819617676975</v>
      </c>
      <c r="H70" s="122">
        <f t="shared" si="2"/>
        <v>-0.91571819617676975</v>
      </c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</row>
    <row r="71" spans="1:23">
      <c r="A71" s="122">
        <f t="shared" si="9"/>
        <v>0.33238727879426561</v>
      </c>
      <c r="B71" s="122">
        <f t="shared" si="3"/>
        <v>7.375</v>
      </c>
      <c r="C71" s="68">
        <f t="shared" si="4"/>
        <v>184.3153873478303</v>
      </c>
      <c r="D71" s="147" t="str">
        <f t="shared" si="7"/>
        <v>1.97°</v>
      </c>
      <c r="E71" s="68">
        <f t="shared" si="11"/>
        <v>46.73647638714894</v>
      </c>
      <c r="F71" s="122">
        <f t="shared" si="10"/>
        <v>1.8400187553995646</v>
      </c>
      <c r="G71" s="122">
        <f t="shared" si="6"/>
        <v>0.9200093776997823</v>
      </c>
      <c r="H71" s="122">
        <f t="shared" si="2"/>
        <v>-0.9200093776997823</v>
      </c>
      <c r="I71" s="174">
        <f>SUM(A12:A71)</f>
        <v>15.33488555480166</v>
      </c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</row>
    <row r="72" spans="1:23">
      <c r="A72" s="122">
        <f t="shared" si="9"/>
        <v>0.33550980306931044</v>
      </c>
      <c r="B72" s="122">
        <f t="shared" si="3"/>
        <v>7.5</v>
      </c>
      <c r="C72" s="68">
        <f t="shared" si="4"/>
        <v>182.60000000000076</v>
      </c>
      <c r="D72" s="147" t="str">
        <f t="shared" si="7"/>
        <v>1.98°</v>
      </c>
      <c r="E72" s="68">
        <f t="shared" si="11"/>
        <v>46.955489949138418</v>
      </c>
      <c r="F72" s="122">
        <f t="shared" si="10"/>
        <v>1.8486413365802528</v>
      </c>
      <c r="G72" s="122">
        <f t="shared" si="6"/>
        <v>0.92432066829012638</v>
      </c>
      <c r="H72" s="122">
        <f t="shared" si="2"/>
        <v>-0.92432066829012638</v>
      </c>
      <c r="I72" s="175">
        <f>SUM(A13:A72)</f>
        <v>15.478945076494549</v>
      </c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</row>
    <row r="73" spans="1:23">
      <c r="A73" s="122">
        <f t="shared" si="9"/>
        <v>0.338661661071818</v>
      </c>
      <c r="B73" s="122">
        <f t="shared" si="3"/>
        <v>7.625</v>
      </c>
      <c r="C73" s="68">
        <f t="shared" si="4"/>
        <v>180.90057742752413</v>
      </c>
      <c r="D73" s="147" t="str">
        <f t="shared" si="7"/>
        <v>1.98°</v>
      </c>
      <c r="E73" s="68">
        <f t="shared" si="11"/>
        <v>47.175529838828297</v>
      </c>
      <c r="F73" s="122">
        <f t="shared" si="10"/>
        <v>1.8573043243633189</v>
      </c>
      <c r="G73" s="122">
        <f t="shared" si="6"/>
        <v>0.92865216218165947</v>
      </c>
      <c r="H73" s="122">
        <f t="shared" si="2"/>
        <v>-0.92865216218165947</v>
      </c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</row>
    <row r="74" spans="1:23">
      <c r="A74" s="122">
        <f t="shared" si="9"/>
        <v>0.34184312836972353</v>
      </c>
      <c r="B74" s="122">
        <f t="shared" si="3"/>
        <v>7.75</v>
      </c>
      <c r="C74" s="68">
        <f t="shared" si="4"/>
        <v>179.21697104935114</v>
      </c>
      <c r="D74" s="147" t="str">
        <f t="shared" si="7"/>
        <v>1.99°</v>
      </c>
      <c r="E74" s="68">
        <f t="shared" si="11"/>
        <v>47.396600865731465</v>
      </c>
      <c r="F74" s="122">
        <f t="shared" si="10"/>
        <v>1.8660079080996641</v>
      </c>
      <c r="G74" s="122">
        <f t="shared" si="6"/>
        <v>0.93300395404983205</v>
      </c>
      <c r="H74" s="122">
        <f t="shared" si="2"/>
        <v>-0.93300395404983205</v>
      </c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</row>
    <row r="75" spans="1:23">
      <c r="A75" s="122">
        <f t="shared" si="9"/>
        <v>0.34505448311971193</v>
      </c>
      <c r="B75" s="122">
        <f t="shared" si="3"/>
        <v>7.875</v>
      </c>
      <c r="C75" s="68">
        <f t="shared" si="4"/>
        <v>177.54903366724733</v>
      </c>
      <c r="D75" s="147" t="str">
        <f t="shared" si="7"/>
        <v>2°</v>
      </c>
      <c r="E75" s="68">
        <f t="shared" si="11"/>
        <v>47.618707861898841</v>
      </c>
      <c r="F75" s="122">
        <f t="shared" si="10"/>
        <v>1.8747522780275134</v>
      </c>
      <c r="G75" s="122">
        <f t="shared" si="6"/>
        <v>0.93737613901375672</v>
      </c>
      <c r="H75" s="122">
        <f t="shared" si="2"/>
        <v>-0.93737613901375672</v>
      </c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</row>
    <row r="76" spans="1:23">
      <c r="A76" s="122">
        <f t="shared" ref="A76:A92" si="12">$B$13*PI()*G76^2</f>
        <v>0.34829600609153782</v>
      </c>
      <c r="B76" s="122">
        <f t="shared" si="3"/>
        <v>8</v>
      </c>
      <c r="C76" s="68">
        <f t="shared" si="4"/>
        <v>175.89661945292349</v>
      </c>
      <c r="D76" s="147" t="str">
        <f t="shared" si="7"/>
        <v>2.01°</v>
      </c>
      <c r="E76" s="68">
        <f t="shared" si="11"/>
        <v>47.841855682025013</v>
      </c>
      <c r="F76" s="122">
        <f t="shared" ref="F76:F92" si="13">E76/25.4</f>
        <v>1.8835376252765754</v>
      </c>
      <c r="G76" s="122">
        <f t="shared" si="6"/>
        <v>0.94176881263828771</v>
      </c>
      <c r="H76" s="122">
        <f t="shared" ref="H76:H92" si="14">-G76</f>
        <v>-0.94176881263828771</v>
      </c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</row>
    <row r="77" spans="1:23">
      <c r="A77" s="122">
        <f t="shared" si="12"/>
        <v>0.35156798069257278</v>
      </c>
      <c r="B77" s="122">
        <f t="shared" ref="B77:B92" si="15">B76+$B$5/$B$9</f>
        <v>8.125</v>
      </c>
      <c r="C77" s="68">
        <f t="shared" ref="C77:C92" si="16">C76/$B$10</f>
        <v>174.25958393528589</v>
      </c>
      <c r="D77" s="147" t="str">
        <f t="shared" si="7"/>
        <v>2.02°</v>
      </c>
      <c r="E77" s="68">
        <f t="shared" ref="E77:E92" si="17">$E$10*E76</f>
        <v>48.066049203554329</v>
      </c>
      <c r="F77" s="122">
        <f t="shared" si="13"/>
        <v>1.8923641418722177</v>
      </c>
      <c r="G77" s="122">
        <f t="shared" ref="G77:G92" si="18">F77/2</f>
        <v>0.94618207093610884</v>
      </c>
      <c r="H77" s="122">
        <f t="shared" si="14"/>
        <v>-0.94618207093610884</v>
      </c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</row>
    <row r="78" spans="1:23">
      <c r="A78" s="122">
        <f t="shared" si="12"/>
        <v>0.35487069299258378</v>
      </c>
      <c r="B78" s="122">
        <f t="shared" si="15"/>
        <v>8.25</v>
      </c>
      <c r="C78" s="68">
        <f t="shared" si="16"/>
        <v>172.63778398780502</v>
      </c>
      <c r="D78" s="147" t="str">
        <f t="shared" ref="D78:D92" si="19">CONCATENATE(ROUND(180*ATAN((G78-G77)/0.125)/PI(),2),"°")</f>
        <v>2.03°</v>
      </c>
      <c r="E78" s="68">
        <f t="shared" si="17"/>
        <v>48.29129332678751</v>
      </c>
      <c r="F78" s="122">
        <f t="shared" si="13"/>
        <v>1.9012320207396658</v>
      </c>
      <c r="G78" s="122">
        <f t="shared" si="18"/>
        <v>0.9506160103698329</v>
      </c>
      <c r="H78" s="122">
        <f t="shared" si="14"/>
        <v>-0.9506160103698329</v>
      </c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</row>
    <row r="79" spans="1:23">
      <c r="A79" s="122">
        <f t="shared" si="12"/>
        <v>0.35820443174874478</v>
      </c>
      <c r="B79" s="122">
        <f t="shared" si="15"/>
        <v>8.375</v>
      </c>
      <c r="C79" s="68">
        <f t="shared" si="16"/>
        <v>171.03107781600207</v>
      </c>
      <c r="D79" s="147" t="str">
        <f t="shared" si="19"/>
        <v>2.04°</v>
      </c>
      <c r="E79" s="68">
        <f t="shared" si="17"/>
        <v>48.517592974988773</v>
      </c>
      <c r="F79" s="122">
        <f t="shared" si="13"/>
        <v>1.9101414557082195</v>
      </c>
      <c r="G79" s="122">
        <f t="shared" si="18"/>
        <v>0.95507072785410974</v>
      </c>
      <c r="H79" s="122">
        <f t="shared" si="14"/>
        <v>-0.95507072785410974</v>
      </c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</row>
    <row r="80" spans="1:23">
      <c r="A80" s="122">
        <f t="shared" si="12"/>
        <v>0.3615694884308821</v>
      </c>
      <c r="B80" s="122">
        <f t="shared" si="15"/>
        <v>8.5</v>
      </c>
      <c r="C80" s="68">
        <f t="shared" si="16"/>
        <v>169.43932494505179</v>
      </c>
      <c r="D80" s="147" t="str">
        <f t="shared" si="19"/>
        <v>2.05°</v>
      </c>
      <c r="E80" s="68">
        <f t="shared" si="17"/>
        <v>48.744953094493411</v>
      </c>
      <c r="F80" s="122">
        <f t="shared" si="13"/>
        <v>1.9190926415154888</v>
      </c>
      <c r="G80" s="122">
        <f t="shared" si="18"/>
        <v>0.95954632075774438</v>
      </c>
      <c r="H80" s="122">
        <f t="shared" si="14"/>
        <v>-0.95954632075774438</v>
      </c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</row>
    <row r="81" spans="1:23">
      <c r="A81" s="122">
        <f t="shared" si="12"/>
        <v>0.36496615724695841</v>
      </c>
      <c r="B81" s="122">
        <f t="shared" si="15"/>
        <v>8.625</v>
      </c>
      <c r="C81" s="68">
        <f t="shared" si="16"/>
        <v>167.86238620750075</v>
      </c>
      <c r="D81" s="147" t="str">
        <f t="shared" si="19"/>
        <v>2.06°</v>
      </c>
      <c r="E81" s="68">
        <f t="shared" si="17"/>
        <v>48.973378654815932</v>
      </c>
      <c r="F81" s="122">
        <f t="shared" si="13"/>
        <v>1.928085773811651</v>
      </c>
      <c r="G81" s="122">
        <f t="shared" si="18"/>
        <v>0.96404288690582551</v>
      </c>
      <c r="H81" s="122">
        <f t="shared" si="14"/>
        <v>-0.96404288690582551</v>
      </c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</row>
    <row r="82" spans="1:23">
      <c r="A82" s="122">
        <f t="shared" si="12"/>
        <v>0.36839473516879517</v>
      </c>
      <c r="B82" s="122">
        <f t="shared" si="15"/>
        <v>8.75</v>
      </c>
      <c r="C82" s="68">
        <f t="shared" si="16"/>
        <v>166.3001237310998</v>
      </c>
      <c r="D82" s="147" t="str">
        <f t="shared" si="19"/>
        <v>2.07°</v>
      </c>
      <c r="E82" s="68">
        <f t="shared" si="17"/>
        <v>49.20287464875868</v>
      </c>
      <c r="F82" s="122">
        <f t="shared" si="13"/>
        <v>1.9371210491637276</v>
      </c>
      <c r="G82" s="122">
        <f t="shared" si="18"/>
        <v>0.96856052458186381</v>
      </c>
      <c r="H82" s="122">
        <f t="shared" si="14"/>
        <v>-0.96856052458186381</v>
      </c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</row>
    <row r="83" spans="1:23">
      <c r="A83" s="122">
        <f t="shared" si="12"/>
        <v>0.37185552195803706</v>
      </c>
      <c r="B83" s="122">
        <f t="shared" si="15"/>
        <v>8.875</v>
      </c>
      <c r="C83" s="68">
        <f t="shared" si="16"/>
        <v>164.75240092674994</v>
      </c>
      <c r="D83" s="147" t="str">
        <f t="shared" si="19"/>
        <v>2.08°</v>
      </c>
      <c r="E83" s="68">
        <f t="shared" si="17"/>
        <v>49.433446092520953</v>
      </c>
      <c r="F83" s="122">
        <f t="shared" si="13"/>
        <v>1.9461986650598802</v>
      </c>
      <c r="G83" s="122">
        <f t="shared" si="18"/>
        <v>0.97309933252994008</v>
      </c>
      <c r="H83" s="122">
        <f t="shared" si="14"/>
        <v>-0.97309933252994008</v>
      </c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</row>
    <row r="84" spans="1:23">
      <c r="A84" s="122">
        <f t="shared" si="12"/>
        <v>0.37534882019235999</v>
      </c>
      <c r="B84" s="122">
        <f t="shared" si="15"/>
        <v>9</v>
      </c>
      <c r="C84" s="68">
        <f t="shared" si="16"/>
        <v>163.21908247656026</v>
      </c>
      <c r="D84" s="147" t="str">
        <f t="shared" si="19"/>
        <v>2.09°</v>
      </c>
      <c r="E84" s="68">
        <f t="shared" si="17"/>
        <v>49.665098025808646</v>
      </c>
      <c r="F84" s="122">
        <f t="shared" si="13"/>
        <v>1.9553188199137264</v>
      </c>
      <c r="G84" s="122">
        <f t="shared" si="18"/>
        <v>0.97765940995686318</v>
      </c>
      <c r="H84" s="122">
        <f t="shared" si="14"/>
        <v>-0.97765940995686318</v>
      </c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</row>
    <row r="85" spans="1:23">
      <c r="A85" s="122">
        <f t="shared" si="12"/>
        <v>0.37887493529192584</v>
      </c>
      <c r="B85" s="122">
        <f t="shared" si="15"/>
        <v>9.125</v>
      </c>
      <c r="C85" s="68">
        <f t="shared" si="16"/>
        <v>161.70003432201705</v>
      </c>
      <c r="D85" s="147" t="str">
        <f t="shared" si="19"/>
        <v>2.1°</v>
      </c>
      <c r="E85" s="68">
        <f t="shared" si="17"/>
        <v>49.897835511944415</v>
      </c>
      <c r="F85" s="122">
        <f t="shared" si="13"/>
        <v>1.9644817130686778</v>
      </c>
      <c r="G85" s="122">
        <f t="shared" si="18"/>
        <v>0.9822408565343389</v>
      </c>
      <c r="H85" s="122">
        <f t="shared" si="14"/>
        <v>-0.9822408565343389</v>
      </c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</row>
    <row r="86" spans="1:23">
      <c r="A86" s="122">
        <f t="shared" si="12"/>
        <v>0.38243417554608528</v>
      </c>
      <c r="B86" s="122">
        <f t="shared" si="15"/>
        <v>9.25</v>
      </c>
      <c r="C86" s="68">
        <f t="shared" si="16"/>
        <v>160.19512365226305</v>
      </c>
      <c r="D86" s="147" t="str">
        <f t="shared" si="19"/>
        <v>2.11°</v>
      </c>
      <c r="E86" s="68">
        <f t="shared" si="17"/>
        <v>50.131663637978342</v>
      </c>
      <c r="F86" s="122">
        <f t="shared" si="13"/>
        <v>1.973687544802297</v>
      </c>
      <c r="G86" s="122">
        <f t="shared" si="18"/>
        <v>0.98684377240114851</v>
      </c>
      <c r="H86" s="122">
        <f t="shared" si="14"/>
        <v>-0.98684377240114851</v>
      </c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</row>
    <row r="87" spans="1:23">
      <c r="A87" s="122">
        <f t="shared" si="12"/>
        <v>0.38602685214033161</v>
      </c>
      <c r="B87" s="122">
        <f t="shared" si="15"/>
        <v>9.375</v>
      </c>
      <c r="C87" s="68">
        <f t="shared" si="16"/>
        <v>158.70421889248573</v>
      </c>
      <c r="D87" s="147" t="str">
        <f t="shared" si="19"/>
        <v>2.12°</v>
      </c>
      <c r="E87" s="68">
        <f t="shared" si="17"/>
        <v>50.366587514799122</v>
      </c>
      <c r="F87" s="122">
        <f t="shared" si="13"/>
        <v>1.9829365163306742</v>
      </c>
      <c r="G87" s="122">
        <f t="shared" si="18"/>
        <v>0.99146825816533712</v>
      </c>
      <c r="H87" s="122">
        <f t="shared" si="14"/>
        <v>-0.99146825816533712</v>
      </c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</row>
    <row r="88" spans="1:23">
      <c r="A88" s="122">
        <f t="shared" si="12"/>
        <v>0.38965327918350789</v>
      </c>
      <c r="B88" s="122">
        <f t="shared" si="15"/>
        <v>9.5</v>
      </c>
      <c r="C88" s="68">
        <f t="shared" si="16"/>
        <v>157.22718969241365</v>
      </c>
      <c r="D88" s="147" t="str">
        <f t="shared" si="19"/>
        <v>2.13°</v>
      </c>
      <c r="E88" s="68">
        <f t="shared" si="17"/>
        <v>50.602612277245782</v>
      </c>
      <c r="F88" s="122">
        <f t="shared" si="13"/>
        <v>1.9922288298128261</v>
      </c>
      <c r="G88" s="122">
        <f t="shared" si="18"/>
        <v>0.99611441490641306</v>
      </c>
      <c r="H88" s="122">
        <f t="shared" si="14"/>
        <v>-0.99611441490641306</v>
      </c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</row>
    <row r="89" spans="1:23">
      <c r="A89" s="122">
        <f t="shared" si="12"/>
        <v>0.3933137737352696</v>
      </c>
      <c r="B89" s="122">
        <f t="shared" si="15"/>
        <v>9.625</v>
      </c>
      <c r="C89" s="68">
        <f t="shared" si="16"/>
        <v>155.76390691491994</v>
      </c>
      <c r="D89" s="147" t="str">
        <f t="shared" si="19"/>
        <v>2.14°</v>
      </c>
      <c r="E89" s="68">
        <f t="shared" si="17"/>
        <v>50.839743084219911</v>
      </c>
      <c r="F89" s="122">
        <f t="shared" si="13"/>
        <v>2.0015646883551148</v>
      </c>
      <c r="G89" s="122">
        <f t="shared" si="18"/>
        <v>1.0007823441775574</v>
      </c>
      <c r="H89" s="122">
        <f t="shared" si="14"/>
        <v>-1.0007823441775574</v>
      </c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</row>
    <row r="90" spans="1:23">
      <c r="A90" s="122">
        <f t="shared" si="12"/>
        <v>0.39700865583380501</v>
      </c>
      <c r="B90" s="122">
        <f t="shared" si="15"/>
        <v>9.75</v>
      </c>
      <c r="C90" s="68">
        <f t="shared" si="16"/>
        <v>154.31424262473178</v>
      </c>
      <c r="D90" s="147" t="str">
        <f t="shared" si="19"/>
        <v>2.15°</v>
      </c>
      <c r="E90" s="68">
        <f t="shared" si="17"/>
        <v>51.077985118798424</v>
      </c>
      <c r="F90" s="122">
        <f t="shared" si="13"/>
        <v>2.010944296015686</v>
      </c>
      <c r="G90" s="122">
        <f t="shared" si="18"/>
        <v>1.005472148007843</v>
      </c>
      <c r="H90" s="122">
        <f t="shared" si="14"/>
        <v>-1.005472148007843</v>
      </c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</row>
    <row r="91" spans="1:23">
      <c r="A91" s="122">
        <f t="shared" si="12"/>
        <v>0.40073824852381684</v>
      </c>
      <c r="B91" s="122">
        <f t="shared" si="15"/>
        <v>9.875</v>
      </c>
      <c r="C91" s="68">
        <f t="shared" si="16"/>
        <v>152.8780700772449</v>
      </c>
      <c r="D91" s="147" t="str">
        <f t="shared" si="19"/>
        <v>2.16°</v>
      </c>
      <c r="E91" s="68">
        <f t="shared" si="17"/>
        <v>51.317343588346837</v>
      </c>
      <c r="F91" s="122">
        <f t="shared" si="13"/>
        <v>2.0203678578089308</v>
      </c>
      <c r="G91" s="122">
        <f t="shared" si="18"/>
        <v>1.0101839289044654</v>
      </c>
      <c r="H91" s="122">
        <f t="shared" si="14"/>
        <v>-1.0101839289044654</v>
      </c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</row>
    <row r="92" spans="1:23">
      <c r="A92" s="122">
        <f t="shared" si="12"/>
        <v>0.40450287788476497</v>
      </c>
      <c r="B92" s="122">
        <f t="shared" si="15"/>
        <v>10</v>
      </c>
      <c r="C92" s="68">
        <f t="shared" si="16"/>
        <v>151.45526370744241</v>
      </c>
      <c r="D92" s="147" t="str">
        <f t="shared" si="19"/>
        <v>2.17°</v>
      </c>
      <c r="E92" s="68">
        <f t="shared" si="17"/>
        <v>51.55782372463311</v>
      </c>
      <c r="F92" s="122">
        <f t="shared" si="13"/>
        <v>2.0298355797099652</v>
      </c>
      <c r="G92" s="122">
        <f t="shared" si="18"/>
        <v>1.0149177898549826</v>
      </c>
      <c r="H92" s="122">
        <f t="shared" si="14"/>
        <v>-1.0149177898549826</v>
      </c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L218"/>
  <sheetViews>
    <sheetView zoomScale="125" zoomScaleNormal="125" zoomScalePageLayoutView="125" workbookViewId="0"/>
  </sheetViews>
  <sheetFormatPr baseColWidth="10" defaultColWidth="8.7109375" defaultRowHeight="18" x14ac:dyDescent="0"/>
  <cols>
    <col min="1" max="1" width="16.7109375" style="118" customWidth="1"/>
    <col min="2" max="4" width="9.140625" style="119" customWidth="1"/>
    <col min="5" max="5" width="8.7109375" style="119" customWidth="1"/>
    <col min="6" max="6" width="10.28515625" style="119" customWidth="1"/>
    <col min="7" max="7" width="9.140625" style="118" customWidth="1"/>
    <col min="8" max="28" width="9.140625" style="119" customWidth="1"/>
    <col min="29" max="16384" width="8.7109375" style="108"/>
  </cols>
  <sheetData>
    <row r="3" spans="1:19">
      <c r="B3" s="117" t="s">
        <v>94</v>
      </c>
    </row>
    <row r="5" spans="1:19">
      <c r="I5" s="129"/>
      <c r="J5" s="130"/>
      <c r="K5" s="130"/>
      <c r="L5" s="131" t="s">
        <v>95</v>
      </c>
      <c r="M5" s="130"/>
      <c r="N5" s="130"/>
      <c r="O5" s="130"/>
      <c r="P5" s="130"/>
      <c r="Q5" s="130"/>
      <c r="R5" s="132"/>
    </row>
    <row r="6" spans="1:19">
      <c r="B6" s="137" t="s">
        <v>435</v>
      </c>
      <c r="C6" s="132"/>
      <c r="D6" s="131" t="s">
        <v>431</v>
      </c>
      <c r="E6" s="132"/>
      <c r="F6" s="136" t="s">
        <v>97</v>
      </c>
      <c r="G6" s="135" t="s">
        <v>98</v>
      </c>
      <c r="H6" s="132"/>
      <c r="I6" s="133">
        <v>1.1000000000000001</v>
      </c>
      <c r="J6" s="146"/>
      <c r="K6" s="121">
        <v>1.25</v>
      </c>
      <c r="L6" s="146"/>
      <c r="M6" s="121">
        <v>1.3</v>
      </c>
      <c r="N6" s="146"/>
      <c r="O6" s="121">
        <v>1.4</v>
      </c>
      <c r="P6" s="146"/>
      <c r="Q6" s="121">
        <v>1.5</v>
      </c>
      <c r="R6" s="134"/>
    </row>
    <row r="7" spans="1:19">
      <c r="B7" s="142" t="s">
        <v>99</v>
      </c>
      <c r="C7" s="143" t="s">
        <v>38</v>
      </c>
      <c r="D7" s="142" t="s">
        <v>99</v>
      </c>
      <c r="E7" s="143" t="s">
        <v>38</v>
      </c>
      <c r="F7" s="138" t="s">
        <v>436</v>
      </c>
      <c r="G7" s="142" t="s">
        <v>99</v>
      </c>
      <c r="H7" s="143" t="s">
        <v>38</v>
      </c>
      <c r="I7" s="139" t="s">
        <v>99</v>
      </c>
      <c r="J7" s="140" t="s">
        <v>38</v>
      </c>
      <c r="K7" s="139" t="s">
        <v>99</v>
      </c>
      <c r="L7" s="140" t="s">
        <v>38</v>
      </c>
      <c r="M7" s="139" t="s">
        <v>99</v>
      </c>
      <c r="N7" s="140" t="s">
        <v>38</v>
      </c>
      <c r="O7" s="139" t="s">
        <v>99</v>
      </c>
      <c r="P7" s="140" t="s">
        <v>38</v>
      </c>
      <c r="Q7" s="139" t="s">
        <v>99</v>
      </c>
      <c r="R7" s="140" t="s">
        <v>38</v>
      </c>
      <c r="S7" s="116" t="s">
        <v>100</v>
      </c>
    </row>
    <row r="8" spans="1:19" ht="21" customHeight="1">
      <c r="A8" s="119"/>
      <c r="B8" s="118" t="s">
        <v>33</v>
      </c>
      <c r="C8" s="118" t="s">
        <v>33</v>
      </c>
      <c r="D8" s="118" t="s">
        <v>33</v>
      </c>
      <c r="E8" s="118" t="s">
        <v>33</v>
      </c>
      <c r="F8" s="118" t="s">
        <v>33</v>
      </c>
      <c r="G8" s="120" t="s">
        <v>11</v>
      </c>
      <c r="H8" s="120" t="s">
        <v>11</v>
      </c>
      <c r="I8" s="120" t="s">
        <v>11</v>
      </c>
      <c r="J8" s="120" t="s">
        <v>11</v>
      </c>
      <c r="K8" s="120" t="s">
        <v>11</v>
      </c>
      <c r="L8" s="120" t="s">
        <v>11</v>
      </c>
      <c r="M8" s="120" t="s">
        <v>11</v>
      </c>
      <c r="N8" s="120" t="s">
        <v>11</v>
      </c>
      <c r="O8" s="120" t="s">
        <v>11</v>
      </c>
      <c r="P8" s="120" t="s">
        <v>11</v>
      </c>
      <c r="Q8" s="120" t="s">
        <v>11</v>
      </c>
      <c r="R8" s="120" t="s">
        <v>11</v>
      </c>
    </row>
    <row r="9" spans="1:19" ht="21" customHeight="1">
      <c r="A9" s="120" t="s">
        <v>466</v>
      </c>
      <c r="B9" s="118"/>
      <c r="C9" s="118"/>
      <c r="D9" s="118"/>
      <c r="E9" s="118"/>
      <c r="F9" s="118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</row>
    <row r="10" spans="1:19">
      <c r="A10" s="118" t="s">
        <v>439</v>
      </c>
      <c r="B10" s="118" t="s">
        <v>236</v>
      </c>
      <c r="C10" s="118" t="s">
        <v>236</v>
      </c>
      <c r="D10" s="118" t="s">
        <v>144</v>
      </c>
      <c r="E10" s="118" t="s">
        <v>144</v>
      </c>
      <c r="F10" s="118" t="s">
        <v>130</v>
      </c>
      <c r="G10" s="118">
        <v>0.375</v>
      </c>
      <c r="H10" s="118">
        <v>0.375</v>
      </c>
      <c r="I10" s="122">
        <f t="shared" ref="I10:J12" si="0">$I$6*G10</f>
        <v>0.41250000000000003</v>
      </c>
      <c r="J10" s="122">
        <f t="shared" si="0"/>
        <v>0.41250000000000003</v>
      </c>
      <c r="K10" s="122">
        <f t="shared" ref="K10:L12" si="1">$K$6*G10</f>
        <v>0.46875</v>
      </c>
      <c r="L10" s="122">
        <f t="shared" si="1"/>
        <v>0.46875</v>
      </c>
      <c r="M10" s="122">
        <f t="shared" ref="M10:N12" si="2">$M$6*G10</f>
        <v>0.48750000000000004</v>
      </c>
      <c r="N10" s="122">
        <f t="shared" si="2"/>
        <v>0.48750000000000004</v>
      </c>
      <c r="O10" s="122">
        <f t="shared" ref="O10:P12" si="3">$O$6*G10</f>
        <v>0.52499999999999991</v>
      </c>
      <c r="P10" s="122">
        <f t="shared" si="3"/>
        <v>0.52499999999999991</v>
      </c>
      <c r="Q10" s="122">
        <f t="shared" ref="Q10:R12" si="4">$Q$6*G10</f>
        <v>0.5625</v>
      </c>
      <c r="R10" s="122">
        <f t="shared" si="4"/>
        <v>0.5625</v>
      </c>
      <c r="S10" s="119" t="s">
        <v>511</v>
      </c>
    </row>
    <row r="11" spans="1:19">
      <c r="A11" s="118" t="s">
        <v>437</v>
      </c>
      <c r="B11" s="118" t="s">
        <v>175</v>
      </c>
      <c r="C11" s="118" t="s">
        <v>175</v>
      </c>
      <c r="D11" s="118" t="s">
        <v>202</v>
      </c>
      <c r="E11" s="118" t="s">
        <v>202</v>
      </c>
      <c r="F11" s="118" t="s">
        <v>222</v>
      </c>
      <c r="G11" s="118">
        <v>0.375</v>
      </c>
      <c r="H11" s="118">
        <v>0.375</v>
      </c>
      <c r="I11" s="122">
        <f t="shared" si="0"/>
        <v>0.41250000000000003</v>
      </c>
      <c r="J11" s="122">
        <f t="shared" si="0"/>
        <v>0.41250000000000003</v>
      </c>
      <c r="K11" s="122">
        <f t="shared" si="1"/>
        <v>0.46875</v>
      </c>
      <c r="L11" s="122">
        <f t="shared" si="1"/>
        <v>0.46875</v>
      </c>
      <c r="M11" s="122">
        <f t="shared" si="2"/>
        <v>0.48750000000000004</v>
      </c>
      <c r="N11" s="122">
        <f t="shared" si="2"/>
        <v>0.48750000000000004</v>
      </c>
      <c r="O11" s="122">
        <f t="shared" si="3"/>
        <v>0.52499999999999991</v>
      </c>
      <c r="P11" s="122">
        <f t="shared" si="3"/>
        <v>0.52499999999999991</v>
      </c>
      <c r="Q11" s="122">
        <f t="shared" si="4"/>
        <v>0.5625</v>
      </c>
      <c r="R11" s="122">
        <f t="shared" si="4"/>
        <v>0.5625</v>
      </c>
      <c r="S11" s="119" t="s">
        <v>492</v>
      </c>
    </row>
    <row r="12" spans="1:19">
      <c r="A12" s="118" t="s">
        <v>451</v>
      </c>
      <c r="B12" s="118" t="s">
        <v>241</v>
      </c>
      <c r="C12" s="118" t="s">
        <v>241</v>
      </c>
      <c r="D12" s="118" t="s">
        <v>113</v>
      </c>
      <c r="E12" s="118" t="s">
        <v>113</v>
      </c>
      <c r="F12" s="118" t="s">
        <v>452</v>
      </c>
      <c r="G12" s="118">
        <v>0.375</v>
      </c>
      <c r="H12" s="118">
        <v>0.375</v>
      </c>
      <c r="I12" s="122">
        <f t="shared" si="0"/>
        <v>0.41250000000000003</v>
      </c>
      <c r="J12" s="122">
        <f t="shared" si="0"/>
        <v>0.41250000000000003</v>
      </c>
      <c r="K12" s="122">
        <f t="shared" si="1"/>
        <v>0.46875</v>
      </c>
      <c r="L12" s="122">
        <f t="shared" si="1"/>
        <v>0.46875</v>
      </c>
      <c r="M12" s="122">
        <f t="shared" si="2"/>
        <v>0.48750000000000004</v>
      </c>
      <c r="N12" s="122">
        <f t="shared" si="2"/>
        <v>0.48750000000000004</v>
      </c>
      <c r="O12" s="122">
        <f t="shared" si="3"/>
        <v>0.52499999999999991</v>
      </c>
      <c r="P12" s="122">
        <f t="shared" si="3"/>
        <v>0.52499999999999991</v>
      </c>
      <c r="Q12" s="122">
        <f t="shared" si="4"/>
        <v>0.5625</v>
      </c>
      <c r="R12" s="122">
        <f t="shared" si="4"/>
        <v>0.5625</v>
      </c>
      <c r="S12" s="119" t="s">
        <v>574</v>
      </c>
    </row>
    <row r="13" spans="1:19">
      <c r="B13" s="123" t="s">
        <v>438</v>
      </c>
      <c r="C13" s="118"/>
      <c r="E13" s="118"/>
      <c r="F13" s="118"/>
      <c r="H13" s="118"/>
      <c r="I13" s="122"/>
      <c r="J13" s="122"/>
      <c r="K13" s="122"/>
      <c r="L13" s="122"/>
      <c r="M13" s="122"/>
      <c r="N13" s="122"/>
      <c r="O13" s="122"/>
      <c r="P13" s="122"/>
      <c r="Q13" s="122"/>
      <c r="R13" s="122"/>
    </row>
    <row r="14" spans="1:19">
      <c r="A14" s="118" t="s">
        <v>103</v>
      </c>
      <c r="B14" s="123"/>
      <c r="C14" s="118"/>
      <c r="E14" s="118"/>
      <c r="F14" s="118"/>
      <c r="H14" s="118"/>
      <c r="I14" s="122"/>
      <c r="J14" s="122"/>
      <c r="K14" s="122"/>
      <c r="L14" s="122"/>
      <c r="M14" s="122"/>
      <c r="N14" s="122"/>
      <c r="O14" s="122"/>
      <c r="P14" s="122"/>
      <c r="Q14" s="122"/>
      <c r="R14" s="122"/>
    </row>
    <row r="15" spans="1:19">
      <c r="A15" s="120" t="s">
        <v>104</v>
      </c>
      <c r="E15" s="118"/>
      <c r="F15" s="118"/>
      <c r="H15" s="118"/>
      <c r="I15" s="122"/>
      <c r="J15" s="122"/>
      <c r="K15" s="122"/>
      <c r="L15" s="122"/>
      <c r="M15" s="122"/>
      <c r="N15" s="122"/>
      <c r="O15" s="122"/>
      <c r="P15" s="122"/>
      <c r="Q15" s="122"/>
      <c r="R15" s="122"/>
    </row>
    <row r="16" spans="1:19">
      <c r="A16" s="118">
        <v>61000</v>
      </c>
      <c r="B16" s="118" t="s">
        <v>105</v>
      </c>
      <c r="C16" s="118" t="s">
        <v>105</v>
      </c>
      <c r="D16" s="118" t="s">
        <v>106</v>
      </c>
      <c r="E16" s="118" t="s">
        <v>106</v>
      </c>
      <c r="F16" s="118" t="s">
        <v>102</v>
      </c>
      <c r="G16" s="122">
        <v>0.35399999999999998</v>
      </c>
      <c r="H16" s="122">
        <v>0.35399999999999998</v>
      </c>
      <c r="I16" s="122">
        <f t="shared" ref="I16:J22" si="5">$I$6*G16</f>
        <v>0.38940000000000002</v>
      </c>
      <c r="J16" s="122">
        <f t="shared" si="5"/>
        <v>0.38940000000000002</v>
      </c>
      <c r="K16" s="122">
        <f t="shared" ref="K16:L22" si="6">$K$6*G16</f>
        <v>0.4425</v>
      </c>
      <c r="L16" s="122">
        <f t="shared" si="6"/>
        <v>0.4425</v>
      </c>
      <c r="M16" s="122">
        <f t="shared" ref="M16:N22" si="7">$M$6*G16</f>
        <v>0.4602</v>
      </c>
      <c r="N16" s="122">
        <f t="shared" si="7"/>
        <v>0.4602</v>
      </c>
      <c r="O16" s="122">
        <f t="shared" ref="O16:P22" si="8">$O$6*G16</f>
        <v>0.49559999999999993</v>
      </c>
      <c r="P16" s="122">
        <f t="shared" si="8"/>
        <v>0.49559999999999993</v>
      </c>
      <c r="Q16" s="122">
        <f t="shared" ref="Q16:R22" si="9">$Q$6*G16</f>
        <v>0.53099999999999992</v>
      </c>
      <c r="R16" s="122">
        <f t="shared" si="9"/>
        <v>0.53099999999999992</v>
      </c>
      <c r="S16" s="119" t="s">
        <v>107</v>
      </c>
    </row>
    <row r="17" spans="1:38">
      <c r="A17" s="118">
        <v>61002</v>
      </c>
      <c r="B17" s="118" t="s">
        <v>108</v>
      </c>
      <c r="C17" s="118" t="s">
        <v>105</v>
      </c>
      <c r="D17" s="118" t="s">
        <v>109</v>
      </c>
      <c r="E17" s="118" t="s">
        <v>106</v>
      </c>
      <c r="F17" s="118" t="s">
        <v>102</v>
      </c>
      <c r="G17" s="122">
        <v>0.375</v>
      </c>
      <c r="H17" s="122">
        <v>0.38100000000000001</v>
      </c>
      <c r="I17" s="122">
        <f t="shared" si="5"/>
        <v>0.41250000000000003</v>
      </c>
      <c r="J17" s="122">
        <f t="shared" si="5"/>
        <v>0.41910000000000003</v>
      </c>
      <c r="K17" s="122">
        <f t="shared" si="6"/>
        <v>0.46875</v>
      </c>
      <c r="L17" s="122">
        <f t="shared" si="6"/>
        <v>0.47625000000000001</v>
      </c>
      <c r="M17" s="122">
        <f t="shared" si="7"/>
        <v>0.48750000000000004</v>
      </c>
      <c r="N17" s="122">
        <f t="shared" si="7"/>
        <v>0.49530000000000002</v>
      </c>
      <c r="O17" s="122">
        <f t="shared" si="8"/>
        <v>0.52499999999999991</v>
      </c>
      <c r="P17" s="122">
        <f t="shared" si="8"/>
        <v>0.53339999999999999</v>
      </c>
      <c r="Q17" s="122">
        <f t="shared" si="9"/>
        <v>0.5625</v>
      </c>
      <c r="R17" s="122">
        <f t="shared" si="9"/>
        <v>0.57150000000000001</v>
      </c>
      <c r="S17" s="119" t="s">
        <v>110</v>
      </c>
    </row>
    <row r="18" spans="1:38">
      <c r="A18" s="118">
        <v>61003</v>
      </c>
      <c r="B18" s="118" t="s">
        <v>111</v>
      </c>
      <c r="C18" s="118" t="s">
        <v>112</v>
      </c>
      <c r="D18" s="118" t="s">
        <v>113</v>
      </c>
      <c r="E18" s="118" t="s">
        <v>101</v>
      </c>
      <c r="F18" s="118" t="s">
        <v>114</v>
      </c>
      <c r="G18" s="122">
        <v>0.39800000000000002</v>
      </c>
      <c r="H18" s="122">
        <v>0.42099999999999999</v>
      </c>
      <c r="I18" s="122">
        <f t="shared" si="5"/>
        <v>0.43780000000000008</v>
      </c>
      <c r="J18" s="122">
        <f t="shared" si="5"/>
        <v>0.46310000000000001</v>
      </c>
      <c r="K18" s="122">
        <f t="shared" si="6"/>
        <v>0.49750000000000005</v>
      </c>
      <c r="L18" s="122">
        <f t="shared" si="6"/>
        <v>0.52625</v>
      </c>
      <c r="M18" s="122">
        <f t="shared" si="7"/>
        <v>0.51740000000000008</v>
      </c>
      <c r="N18" s="122">
        <f t="shared" si="7"/>
        <v>0.54730000000000001</v>
      </c>
      <c r="O18" s="122">
        <f t="shared" si="8"/>
        <v>0.55720000000000003</v>
      </c>
      <c r="P18" s="122">
        <f t="shared" si="8"/>
        <v>0.58939999999999992</v>
      </c>
      <c r="Q18" s="122">
        <f t="shared" si="9"/>
        <v>0.59699999999999998</v>
      </c>
      <c r="R18" s="122">
        <f t="shared" si="9"/>
        <v>0.63149999999999995</v>
      </c>
      <c r="S18" s="119" t="s">
        <v>115</v>
      </c>
    </row>
    <row r="19" spans="1:38">
      <c r="A19" s="118">
        <v>61004</v>
      </c>
      <c r="B19" s="118" t="s">
        <v>112</v>
      </c>
      <c r="C19" s="118" t="s">
        <v>116</v>
      </c>
      <c r="D19" s="118" t="s">
        <v>101</v>
      </c>
      <c r="E19" s="118" t="s">
        <v>117</v>
      </c>
      <c r="F19" s="118" t="s">
        <v>114</v>
      </c>
      <c r="G19" s="122">
        <v>0.42399999999999999</v>
      </c>
      <c r="H19" s="122">
        <v>0.42599999999999999</v>
      </c>
      <c r="I19" s="122">
        <f t="shared" si="5"/>
        <v>0.46640000000000004</v>
      </c>
      <c r="J19" s="122">
        <f t="shared" si="5"/>
        <v>0.46860000000000002</v>
      </c>
      <c r="K19" s="122">
        <f t="shared" si="6"/>
        <v>0.53</v>
      </c>
      <c r="L19" s="122">
        <f t="shared" si="6"/>
        <v>0.53249999999999997</v>
      </c>
      <c r="M19" s="122">
        <f t="shared" si="7"/>
        <v>0.55120000000000002</v>
      </c>
      <c r="N19" s="122">
        <f t="shared" si="7"/>
        <v>0.55379999999999996</v>
      </c>
      <c r="O19" s="122">
        <f t="shared" si="8"/>
        <v>0.59359999999999991</v>
      </c>
      <c r="P19" s="122">
        <f t="shared" si="8"/>
        <v>0.59639999999999993</v>
      </c>
      <c r="Q19" s="122">
        <f t="shared" si="9"/>
        <v>0.63600000000000001</v>
      </c>
      <c r="R19" s="122">
        <f t="shared" si="9"/>
        <v>0.63900000000000001</v>
      </c>
      <c r="S19" s="119" t="s">
        <v>118</v>
      </c>
    </row>
    <row r="20" spans="1:38">
      <c r="A20" s="118">
        <v>61005</v>
      </c>
      <c r="B20" s="118" t="s">
        <v>116</v>
      </c>
      <c r="C20" s="118" t="s">
        <v>119</v>
      </c>
      <c r="D20" s="118" t="s">
        <v>117</v>
      </c>
      <c r="E20" s="118" t="s">
        <v>108</v>
      </c>
      <c r="F20" s="118" t="s">
        <v>114</v>
      </c>
      <c r="G20" s="122">
        <v>0.44700000000000001</v>
      </c>
      <c r="H20" s="122">
        <v>0.46</v>
      </c>
      <c r="I20" s="122">
        <f t="shared" si="5"/>
        <v>0.49170000000000003</v>
      </c>
      <c r="J20" s="122">
        <f t="shared" si="5"/>
        <v>0.50600000000000012</v>
      </c>
      <c r="K20" s="122">
        <f t="shared" si="6"/>
        <v>0.55874999999999997</v>
      </c>
      <c r="L20" s="122">
        <f t="shared" si="6"/>
        <v>0.57500000000000007</v>
      </c>
      <c r="M20" s="122">
        <f t="shared" si="7"/>
        <v>0.58110000000000006</v>
      </c>
      <c r="N20" s="122">
        <f t="shared" si="7"/>
        <v>0.59800000000000009</v>
      </c>
      <c r="O20" s="122">
        <f t="shared" si="8"/>
        <v>0.62580000000000002</v>
      </c>
      <c r="P20" s="122">
        <f t="shared" si="8"/>
        <v>0.64400000000000002</v>
      </c>
      <c r="Q20" s="122">
        <f t="shared" si="9"/>
        <v>0.67049999999999998</v>
      </c>
      <c r="R20" s="122">
        <f t="shared" si="9"/>
        <v>0.69000000000000006</v>
      </c>
      <c r="S20" s="119" t="s">
        <v>120</v>
      </c>
    </row>
    <row r="21" spans="1:38">
      <c r="A21" s="118">
        <v>61006</v>
      </c>
      <c r="B21" s="118" t="s">
        <v>119</v>
      </c>
      <c r="C21" s="118" t="s">
        <v>121</v>
      </c>
      <c r="D21" s="118" t="s">
        <v>108</v>
      </c>
      <c r="E21" s="118" t="s">
        <v>122</v>
      </c>
      <c r="F21" s="118" t="s">
        <v>114</v>
      </c>
      <c r="G21" s="122">
        <v>0.46200000000000002</v>
      </c>
      <c r="H21" s="122">
        <v>0.48199999999999998</v>
      </c>
      <c r="I21" s="122">
        <f t="shared" si="5"/>
        <v>0.5082000000000001</v>
      </c>
      <c r="J21" s="122">
        <f t="shared" si="5"/>
        <v>0.5302</v>
      </c>
      <c r="K21" s="122">
        <f t="shared" si="6"/>
        <v>0.57750000000000001</v>
      </c>
      <c r="L21" s="122">
        <f t="shared" si="6"/>
        <v>0.60250000000000004</v>
      </c>
      <c r="M21" s="122">
        <f t="shared" si="7"/>
        <v>0.60060000000000002</v>
      </c>
      <c r="N21" s="122">
        <f t="shared" si="7"/>
        <v>0.62660000000000005</v>
      </c>
      <c r="O21" s="122">
        <f t="shared" si="8"/>
        <v>0.64680000000000004</v>
      </c>
      <c r="P21" s="122">
        <f t="shared" si="8"/>
        <v>0.67479999999999996</v>
      </c>
      <c r="Q21" s="122">
        <f t="shared" si="9"/>
        <v>0.69300000000000006</v>
      </c>
      <c r="R21" s="122">
        <f t="shared" si="9"/>
        <v>0.72299999999999998</v>
      </c>
      <c r="S21" s="119" t="s">
        <v>123</v>
      </c>
      <c r="AL21" s="108" t="s">
        <v>459</v>
      </c>
    </row>
    <row r="22" spans="1:38" ht="21" customHeight="1">
      <c r="A22" s="118">
        <v>61007</v>
      </c>
      <c r="B22" s="118" t="s">
        <v>121</v>
      </c>
      <c r="C22" s="118" t="s">
        <v>124</v>
      </c>
      <c r="D22" s="118" t="s">
        <v>122</v>
      </c>
      <c r="E22" s="118" t="s">
        <v>125</v>
      </c>
      <c r="F22" s="118" t="s">
        <v>114</v>
      </c>
      <c r="G22" s="122">
        <v>0.48099999999999998</v>
      </c>
      <c r="H22" s="122">
        <v>0.5</v>
      </c>
      <c r="I22" s="122">
        <f t="shared" si="5"/>
        <v>0.52910000000000001</v>
      </c>
      <c r="J22" s="122">
        <f t="shared" si="5"/>
        <v>0.55000000000000004</v>
      </c>
      <c r="K22" s="122">
        <f t="shared" si="6"/>
        <v>0.60124999999999995</v>
      </c>
      <c r="L22" s="122">
        <f t="shared" si="6"/>
        <v>0.625</v>
      </c>
      <c r="M22" s="122">
        <f t="shared" si="7"/>
        <v>0.62529999999999997</v>
      </c>
      <c r="N22" s="122">
        <f t="shared" si="7"/>
        <v>0.65</v>
      </c>
      <c r="O22" s="122">
        <f t="shared" si="8"/>
        <v>0.67339999999999989</v>
      </c>
      <c r="P22" s="122">
        <f t="shared" si="8"/>
        <v>0.7</v>
      </c>
      <c r="Q22" s="122">
        <f t="shared" si="9"/>
        <v>0.72150000000000003</v>
      </c>
      <c r="R22" s="122">
        <f t="shared" si="9"/>
        <v>0.75</v>
      </c>
      <c r="S22" s="119" t="s">
        <v>126</v>
      </c>
    </row>
    <row r="24" spans="1:38">
      <c r="A24" s="118" t="s">
        <v>103</v>
      </c>
      <c r="B24" s="118"/>
      <c r="C24" s="118"/>
      <c r="D24" s="118"/>
      <c r="E24" s="118"/>
      <c r="F24" s="118"/>
      <c r="H24" s="118"/>
      <c r="I24" s="122"/>
      <c r="J24" s="122"/>
      <c r="K24" s="122"/>
      <c r="L24" s="122"/>
      <c r="M24" s="122"/>
      <c r="N24" s="122"/>
      <c r="O24" s="122"/>
      <c r="P24" s="122"/>
      <c r="Q24" s="122"/>
      <c r="R24" s="122"/>
    </row>
    <row r="25" spans="1:38">
      <c r="A25" s="120" t="s">
        <v>127</v>
      </c>
      <c r="G25" s="119"/>
    </row>
    <row r="26" spans="1:38">
      <c r="A26" s="118">
        <v>2229</v>
      </c>
      <c r="B26" s="118" t="s">
        <v>128</v>
      </c>
      <c r="C26" s="118" t="s">
        <v>128</v>
      </c>
      <c r="D26" s="118" t="s">
        <v>129</v>
      </c>
      <c r="E26" s="118" t="s">
        <v>129</v>
      </c>
      <c r="F26" s="118" t="s">
        <v>130</v>
      </c>
      <c r="G26" s="122">
        <v>0.3</v>
      </c>
      <c r="H26" s="122">
        <v>0.3</v>
      </c>
      <c r="I26" s="122">
        <f t="shared" ref="I26:J57" si="10">$I$6*G26</f>
        <v>0.33</v>
      </c>
      <c r="J26" s="122">
        <f t="shared" si="10"/>
        <v>0.33</v>
      </c>
      <c r="K26" s="122">
        <f t="shared" ref="K26:L57" si="11">$K$6*G26</f>
        <v>0.375</v>
      </c>
      <c r="L26" s="122">
        <f t="shared" si="11"/>
        <v>0.375</v>
      </c>
      <c r="M26" s="122">
        <f t="shared" ref="M26:N57" si="12">$M$6*G26</f>
        <v>0.39</v>
      </c>
      <c r="N26" s="122">
        <f t="shared" si="12"/>
        <v>0.39</v>
      </c>
      <c r="O26" s="122">
        <f t="shared" ref="O26:P57" si="13">$O$6*G26</f>
        <v>0.42</v>
      </c>
      <c r="P26" s="122">
        <f t="shared" si="13"/>
        <v>0.42</v>
      </c>
      <c r="Q26" s="122">
        <f t="shared" ref="Q26:R57" si="14">$Q$6*G26</f>
        <v>0.44999999999999996</v>
      </c>
      <c r="R26" s="122">
        <f t="shared" si="14"/>
        <v>0.44999999999999996</v>
      </c>
      <c r="S26" s="123" t="s">
        <v>131</v>
      </c>
    </row>
    <row r="27" spans="1:38">
      <c r="A27" s="118">
        <v>2230</v>
      </c>
      <c r="B27" s="118" t="s">
        <v>160</v>
      </c>
      <c r="C27" s="118" t="s">
        <v>160</v>
      </c>
      <c r="D27" s="118" t="s">
        <v>109</v>
      </c>
      <c r="E27" s="118" t="s">
        <v>109</v>
      </c>
      <c r="F27" s="118" t="s">
        <v>114</v>
      </c>
      <c r="G27" s="122">
        <v>0.30199999999999999</v>
      </c>
      <c r="H27" s="122">
        <v>0.30199999999999999</v>
      </c>
      <c r="I27" s="122">
        <f t="shared" si="10"/>
        <v>0.3322</v>
      </c>
      <c r="J27" s="122">
        <f t="shared" si="10"/>
        <v>0.3322</v>
      </c>
      <c r="K27" s="122">
        <f t="shared" si="11"/>
        <v>0.3775</v>
      </c>
      <c r="L27" s="122">
        <f t="shared" si="11"/>
        <v>0.3775</v>
      </c>
      <c r="M27" s="122">
        <f t="shared" si="12"/>
        <v>0.3926</v>
      </c>
      <c r="N27" s="122">
        <f t="shared" si="12"/>
        <v>0.3926</v>
      </c>
      <c r="O27" s="122">
        <f t="shared" si="13"/>
        <v>0.42279999999999995</v>
      </c>
      <c r="P27" s="122">
        <f t="shared" si="13"/>
        <v>0.42279999999999995</v>
      </c>
      <c r="Q27" s="122">
        <f t="shared" si="14"/>
        <v>0.45299999999999996</v>
      </c>
      <c r="R27" s="122">
        <f t="shared" si="14"/>
        <v>0.45299999999999996</v>
      </c>
      <c r="S27" s="123" t="s">
        <v>131</v>
      </c>
    </row>
    <row r="28" spans="1:38">
      <c r="A28" s="118">
        <v>2231</v>
      </c>
      <c r="B28" s="118" t="s">
        <v>294</v>
      </c>
      <c r="C28" s="118" t="s">
        <v>294</v>
      </c>
      <c r="D28" s="118" t="s">
        <v>467</v>
      </c>
      <c r="E28" s="118" t="s">
        <v>467</v>
      </c>
      <c r="F28" s="118" t="s">
        <v>114</v>
      </c>
      <c r="G28" s="122">
        <v>0.313</v>
      </c>
      <c r="H28" s="122">
        <v>0.313</v>
      </c>
      <c r="I28" s="122">
        <f t="shared" si="10"/>
        <v>0.34430000000000005</v>
      </c>
      <c r="J28" s="122">
        <f t="shared" si="10"/>
        <v>0.34430000000000005</v>
      </c>
      <c r="K28" s="122">
        <f t="shared" si="11"/>
        <v>0.39124999999999999</v>
      </c>
      <c r="L28" s="122">
        <f t="shared" si="11"/>
        <v>0.39124999999999999</v>
      </c>
      <c r="M28" s="122">
        <f t="shared" si="12"/>
        <v>0.40690000000000004</v>
      </c>
      <c r="N28" s="122">
        <f t="shared" si="12"/>
        <v>0.40690000000000004</v>
      </c>
      <c r="O28" s="122">
        <f t="shared" si="13"/>
        <v>0.43819999999999998</v>
      </c>
      <c r="P28" s="122">
        <f t="shared" si="13"/>
        <v>0.43819999999999998</v>
      </c>
      <c r="Q28" s="122">
        <f t="shared" si="14"/>
        <v>0.46950000000000003</v>
      </c>
      <c r="R28" s="122">
        <f t="shared" si="14"/>
        <v>0.46950000000000003</v>
      </c>
      <c r="S28" s="123" t="s">
        <v>135</v>
      </c>
      <c r="T28" s="118"/>
      <c r="U28" s="118"/>
      <c r="V28" s="118"/>
      <c r="W28" s="118"/>
      <c r="X28" s="118"/>
      <c r="Y28" s="118"/>
      <c r="Z28" s="118"/>
      <c r="AA28" s="118"/>
      <c r="AB28" s="118"/>
    </row>
    <row r="29" spans="1:38">
      <c r="A29" s="118">
        <v>2232</v>
      </c>
      <c r="B29" s="118" t="s">
        <v>40</v>
      </c>
      <c r="C29" s="118" t="s">
        <v>40</v>
      </c>
      <c r="D29" s="118" t="s">
        <v>300</v>
      </c>
      <c r="E29" s="118" t="s">
        <v>300</v>
      </c>
      <c r="F29" s="118" t="s">
        <v>114</v>
      </c>
      <c r="G29" s="122">
        <v>0.36</v>
      </c>
      <c r="H29" s="122">
        <v>0.36</v>
      </c>
      <c r="I29" s="122">
        <f t="shared" si="10"/>
        <v>0.39600000000000002</v>
      </c>
      <c r="J29" s="122">
        <f t="shared" si="10"/>
        <v>0.39600000000000002</v>
      </c>
      <c r="K29" s="122">
        <f t="shared" si="11"/>
        <v>0.44999999999999996</v>
      </c>
      <c r="L29" s="122">
        <f t="shared" si="11"/>
        <v>0.44999999999999996</v>
      </c>
      <c r="M29" s="122">
        <f t="shared" si="12"/>
        <v>0.46799999999999997</v>
      </c>
      <c r="N29" s="122">
        <f t="shared" si="12"/>
        <v>0.46799999999999997</v>
      </c>
      <c r="O29" s="122">
        <f t="shared" si="13"/>
        <v>0.504</v>
      </c>
      <c r="P29" s="122">
        <f t="shared" si="13"/>
        <v>0.504</v>
      </c>
      <c r="Q29" s="122">
        <f t="shared" si="14"/>
        <v>0.54</v>
      </c>
      <c r="R29" s="122">
        <f t="shared" si="14"/>
        <v>0.54</v>
      </c>
      <c r="S29" s="123" t="s">
        <v>131</v>
      </c>
      <c r="T29" s="118"/>
      <c r="U29" s="118"/>
      <c r="V29" s="118"/>
      <c r="W29" s="118"/>
      <c r="X29" s="118"/>
      <c r="Y29" s="118"/>
      <c r="Z29" s="118"/>
      <c r="AA29" s="118"/>
      <c r="AB29" s="118"/>
    </row>
    <row r="30" spans="1:38">
      <c r="A30" s="118">
        <v>2233</v>
      </c>
      <c r="B30" s="118" t="s">
        <v>122</v>
      </c>
      <c r="C30" s="118" t="s">
        <v>122</v>
      </c>
      <c r="D30" s="118" t="s">
        <v>468</v>
      </c>
      <c r="E30" s="118" t="s">
        <v>468</v>
      </c>
      <c r="F30" s="118" t="s">
        <v>114</v>
      </c>
      <c r="G30" s="122">
        <v>0.37</v>
      </c>
      <c r="H30" s="122">
        <v>0.37</v>
      </c>
      <c r="I30" s="122">
        <f t="shared" si="10"/>
        <v>0.40700000000000003</v>
      </c>
      <c r="J30" s="122">
        <f t="shared" si="10"/>
        <v>0.40700000000000003</v>
      </c>
      <c r="K30" s="122">
        <f t="shared" si="11"/>
        <v>0.46250000000000002</v>
      </c>
      <c r="L30" s="122">
        <f t="shared" si="11"/>
        <v>0.46250000000000002</v>
      </c>
      <c r="M30" s="122">
        <f t="shared" si="12"/>
        <v>0.48099999999999998</v>
      </c>
      <c r="N30" s="122">
        <f t="shared" si="12"/>
        <v>0.48099999999999998</v>
      </c>
      <c r="O30" s="122">
        <f t="shared" si="13"/>
        <v>0.51800000000000002</v>
      </c>
      <c r="P30" s="122">
        <f t="shared" si="13"/>
        <v>0.51800000000000002</v>
      </c>
      <c r="Q30" s="122">
        <f t="shared" si="14"/>
        <v>0.55499999999999994</v>
      </c>
      <c r="R30" s="122">
        <f t="shared" si="14"/>
        <v>0.55499999999999994</v>
      </c>
      <c r="S30" s="123" t="s">
        <v>136</v>
      </c>
      <c r="T30" s="118"/>
      <c r="U30" s="118"/>
      <c r="V30" s="118"/>
      <c r="W30" s="118"/>
      <c r="X30" s="118"/>
      <c r="Y30" s="118"/>
      <c r="Z30" s="118"/>
      <c r="AA30" s="118"/>
      <c r="AB30" s="118"/>
    </row>
    <row r="31" spans="1:38">
      <c r="A31" s="118">
        <v>2234</v>
      </c>
      <c r="B31" s="118" t="s">
        <v>134</v>
      </c>
      <c r="C31" s="118" t="s">
        <v>134</v>
      </c>
      <c r="D31" s="118" t="s">
        <v>113</v>
      </c>
      <c r="E31" s="118" t="s">
        <v>113</v>
      </c>
      <c r="F31" s="118" t="s">
        <v>114</v>
      </c>
      <c r="G31" s="122">
        <v>0.38800000000000001</v>
      </c>
      <c r="H31" s="122">
        <v>0.38800000000000001</v>
      </c>
      <c r="I31" s="122">
        <f t="shared" si="10"/>
        <v>0.42680000000000007</v>
      </c>
      <c r="J31" s="122">
        <f t="shared" si="10"/>
        <v>0.42680000000000007</v>
      </c>
      <c r="K31" s="122">
        <f t="shared" si="11"/>
        <v>0.48499999999999999</v>
      </c>
      <c r="L31" s="122">
        <f t="shared" si="11"/>
        <v>0.48499999999999999</v>
      </c>
      <c r="M31" s="122">
        <f t="shared" si="12"/>
        <v>0.50440000000000007</v>
      </c>
      <c r="N31" s="122">
        <f t="shared" si="12"/>
        <v>0.50440000000000007</v>
      </c>
      <c r="O31" s="122">
        <f t="shared" si="13"/>
        <v>0.54320000000000002</v>
      </c>
      <c r="P31" s="122">
        <f t="shared" si="13"/>
        <v>0.54320000000000002</v>
      </c>
      <c r="Q31" s="122">
        <f t="shared" si="14"/>
        <v>0.58200000000000007</v>
      </c>
      <c r="R31" s="122">
        <f t="shared" si="14"/>
        <v>0.58200000000000007</v>
      </c>
      <c r="S31" s="123" t="s">
        <v>137</v>
      </c>
      <c r="T31" s="118"/>
      <c r="U31" s="118"/>
      <c r="V31" s="118"/>
      <c r="W31" s="118"/>
      <c r="X31" s="118"/>
      <c r="Y31" s="118"/>
      <c r="Z31" s="118"/>
      <c r="AA31" s="118"/>
      <c r="AB31" s="118"/>
    </row>
    <row r="32" spans="1:38">
      <c r="A32" s="118">
        <v>2235</v>
      </c>
      <c r="B32" s="118" t="s">
        <v>40</v>
      </c>
      <c r="C32" s="118" t="s">
        <v>40</v>
      </c>
      <c r="D32" s="118" t="s">
        <v>202</v>
      </c>
      <c r="E32" s="118" t="s">
        <v>202</v>
      </c>
      <c r="F32" s="118" t="s">
        <v>114</v>
      </c>
      <c r="G32" s="122">
        <v>0.374</v>
      </c>
      <c r="H32" s="122">
        <v>0.374</v>
      </c>
      <c r="I32" s="122">
        <f t="shared" si="10"/>
        <v>0.41140000000000004</v>
      </c>
      <c r="J32" s="122">
        <f t="shared" si="10"/>
        <v>0.41140000000000004</v>
      </c>
      <c r="K32" s="122">
        <f t="shared" si="11"/>
        <v>0.46750000000000003</v>
      </c>
      <c r="L32" s="122">
        <f t="shared" si="11"/>
        <v>0.46750000000000003</v>
      </c>
      <c r="M32" s="122">
        <f t="shared" si="12"/>
        <v>0.48620000000000002</v>
      </c>
      <c r="N32" s="122">
        <f t="shared" si="12"/>
        <v>0.48620000000000002</v>
      </c>
      <c r="O32" s="122">
        <f t="shared" si="13"/>
        <v>0.52359999999999995</v>
      </c>
      <c r="P32" s="122">
        <f t="shared" si="13"/>
        <v>0.52359999999999995</v>
      </c>
      <c r="Q32" s="122">
        <f t="shared" si="14"/>
        <v>0.56099999999999994</v>
      </c>
      <c r="R32" s="122">
        <f t="shared" si="14"/>
        <v>0.56099999999999994</v>
      </c>
      <c r="S32" s="123" t="s">
        <v>139</v>
      </c>
    </row>
    <row r="33" spans="1:28" ht="20" customHeight="1">
      <c r="A33" s="118">
        <v>2236</v>
      </c>
      <c r="B33" s="118" t="s">
        <v>125</v>
      </c>
      <c r="C33" s="118" t="s">
        <v>125</v>
      </c>
      <c r="D33" s="118" t="s">
        <v>133</v>
      </c>
      <c r="E33" s="118" t="s">
        <v>133</v>
      </c>
      <c r="F33" s="118" t="s">
        <v>114</v>
      </c>
      <c r="G33" s="122">
        <v>0.33900000000000002</v>
      </c>
      <c r="H33" s="122">
        <v>0.33900000000000002</v>
      </c>
      <c r="I33" s="122">
        <f t="shared" si="10"/>
        <v>0.37290000000000006</v>
      </c>
      <c r="J33" s="122">
        <f t="shared" si="10"/>
        <v>0.37290000000000006</v>
      </c>
      <c r="K33" s="122">
        <f t="shared" si="11"/>
        <v>0.42375000000000002</v>
      </c>
      <c r="L33" s="122">
        <f t="shared" si="11"/>
        <v>0.42375000000000002</v>
      </c>
      <c r="M33" s="122">
        <f t="shared" si="12"/>
        <v>0.44070000000000004</v>
      </c>
      <c r="N33" s="122">
        <f t="shared" si="12"/>
        <v>0.44070000000000004</v>
      </c>
      <c r="O33" s="122">
        <f t="shared" si="13"/>
        <v>0.47460000000000002</v>
      </c>
      <c r="P33" s="122">
        <f t="shared" si="13"/>
        <v>0.47460000000000002</v>
      </c>
      <c r="Q33" s="122">
        <f t="shared" si="14"/>
        <v>0.50850000000000006</v>
      </c>
      <c r="R33" s="122">
        <f t="shared" si="14"/>
        <v>0.50850000000000006</v>
      </c>
      <c r="S33" s="123" t="s">
        <v>142</v>
      </c>
    </row>
    <row r="34" spans="1:28">
      <c r="A34" s="118">
        <v>2237</v>
      </c>
      <c r="B34" s="118" t="s">
        <v>125</v>
      </c>
      <c r="C34" s="118" t="s">
        <v>125</v>
      </c>
      <c r="D34" s="118" t="s">
        <v>159</v>
      </c>
      <c r="E34" s="118" t="s">
        <v>159</v>
      </c>
      <c r="F34" s="118" t="s">
        <v>114</v>
      </c>
      <c r="G34" s="122">
        <v>0.42299999999999999</v>
      </c>
      <c r="H34" s="122">
        <v>0.42299999999999999</v>
      </c>
      <c r="I34" s="122">
        <f t="shared" si="10"/>
        <v>0.46530000000000005</v>
      </c>
      <c r="J34" s="122">
        <f t="shared" si="10"/>
        <v>0.46530000000000005</v>
      </c>
      <c r="K34" s="122">
        <f t="shared" si="11"/>
        <v>0.52874999999999994</v>
      </c>
      <c r="L34" s="122">
        <f t="shared" si="11"/>
        <v>0.52874999999999994</v>
      </c>
      <c r="M34" s="122">
        <f t="shared" si="12"/>
        <v>0.54990000000000006</v>
      </c>
      <c r="N34" s="122">
        <f t="shared" si="12"/>
        <v>0.54990000000000006</v>
      </c>
      <c r="O34" s="122">
        <f t="shared" si="13"/>
        <v>0.59219999999999995</v>
      </c>
      <c r="P34" s="122">
        <f t="shared" si="13"/>
        <v>0.59219999999999995</v>
      </c>
      <c r="Q34" s="122">
        <f t="shared" si="14"/>
        <v>0.63449999999999995</v>
      </c>
      <c r="R34" s="122">
        <f t="shared" si="14"/>
        <v>0.63449999999999995</v>
      </c>
      <c r="S34" s="123" t="s">
        <v>143</v>
      </c>
    </row>
    <row r="35" spans="1:28">
      <c r="A35" s="118">
        <v>2238</v>
      </c>
      <c r="B35" s="118" t="s">
        <v>134</v>
      </c>
      <c r="C35" s="118" t="s">
        <v>134</v>
      </c>
      <c r="D35" s="118" t="s">
        <v>133</v>
      </c>
      <c r="E35" s="118" t="s">
        <v>133</v>
      </c>
      <c r="F35" s="118" t="s">
        <v>114</v>
      </c>
      <c r="G35" s="122">
        <v>0.31900000000000001</v>
      </c>
      <c r="H35" s="122">
        <v>0.31900000000000001</v>
      </c>
      <c r="I35" s="122">
        <f t="shared" si="10"/>
        <v>0.35090000000000005</v>
      </c>
      <c r="J35" s="122">
        <f t="shared" si="10"/>
        <v>0.35090000000000005</v>
      </c>
      <c r="K35" s="122">
        <f t="shared" si="11"/>
        <v>0.39874999999999999</v>
      </c>
      <c r="L35" s="122">
        <f t="shared" si="11"/>
        <v>0.39874999999999999</v>
      </c>
      <c r="M35" s="122">
        <f t="shared" si="12"/>
        <v>0.41470000000000001</v>
      </c>
      <c r="N35" s="122">
        <f t="shared" si="12"/>
        <v>0.41470000000000001</v>
      </c>
      <c r="O35" s="122">
        <f t="shared" si="13"/>
        <v>0.4466</v>
      </c>
      <c r="P35" s="122">
        <f t="shared" si="13"/>
        <v>0.4466</v>
      </c>
      <c r="Q35" s="122">
        <f t="shared" si="14"/>
        <v>0.47850000000000004</v>
      </c>
      <c r="R35" s="122">
        <f t="shared" si="14"/>
        <v>0.47850000000000004</v>
      </c>
      <c r="S35" s="123" t="s">
        <v>142</v>
      </c>
    </row>
    <row r="36" spans="1:28">
      <c r="A36" s="118">
        <v>2239</v>
      </c>
      <c r="B36" s="118" t="s">
        <v>111</v>
      </c>
      <c r="C36" s="118" t="s">
        <v>111</v>
      </c>
      <c r="D36" s="118" t="s">
        <v>345</v>
      </c>
      <c r="E36" s="118" t="s">
        <v>345</v>
      </c>
      <c r="F36" s="118" t="s">
        <v>114</v>
      </c>
      <c r="G36" s="122">
        <v>0.376</v>
      </c>
      <c r="H36" s="122">
        <v>0.376</v>
      </c>
      <c r="I36" s="122">
        <f t="shared" si="10"/>
        <v>0.41360000000000002</v>
      </c>
      <c r="J36" s="122">
        <f t="shared" si="10"/>
        <v>0.41360000000000002</v>
      </c>
      <c r="K36" s="122">
        <f t="shared" si="11"/>
        <v>0.47</v>
      </c>
      <c r="L36" s="122">
        <f t="shared" si="11"/>
        <v>0.47</v>
      </c>
      <c r="M36" s="122">
        <f t="shared" si="12"/>
        <v>0.48880000000000001</v>
      </c>
      <c r="N36" s="122">
        <f t="shared" si="12"/>
        <v>0.48880000000000001</v>
      </c>
      <c r="O36" s="122">
        <f t="shared" si="13"/>
        <v>0.52639999999999998</v>
      </c>
      <c r="P36" s="122">
        <f t="shared" si="13"/>
        <v>0.52639999999999998</v>
      </c>
      <c r="Q36" s="122">
        <f t="shared" si="14"/>
        <v>0.56400000000000006</v>
      </c>
      <c r="R36" s="122">
        <f t="shared" si="14"/>
        <v>0.56400000000000006</v>
      </c>
      <c r="S36" s="123" t="s">
        <v>136</v>
      </c>
    </row>
    <row r="37" spans="1:28" s="388" customFormat="1" ht="17">
      <c r="A37" s="388">
        <v>2240</v>
      </c>
      <c r="B37" s="388" t="s">
        <v>146</v>
      </c>
      <c r="C37" s="388" t="s">
        <v>146</v>
      </c>
      <c r="D37" s="388" t="s">
        <v>141</v>
      </c>
      <c r="E37" s="388" t="s">
        <v>141</v>
      </c>
      <c r="F37" s="388" t="s">
        <v>114</v>
      </c>
      <c r="G37" s="388">
        <v>0.43</v>
      </c>
      <c r="H37" s="388">
        <v>0.43</v>
      </c>
      <c r="I37" s="388">
        <f t="shared" si="10"/>
        <v>0.47300000000000003</v>
      </c>
      <c r="J37" s="388">
        <f t="shared" si="10"/>
        <v>0.47300000000000003</v>
      </c>
      <c r="K37" s="388">
        <f t="shared" si="11"/>
        <v>0.53749999999999998</v>
      </c>
      <c r="L37" s="388">
        <f t="shared" si="11"/>
        <v>0.53749999999999998</v>
      </c>
      <c r="M37" s="388">
        <f t="shared" si="12"/>
        <v>0.55900000000000005</v>
      </c>
      <c r="N37" s="388">
        <f t="shared" si="12"/>
        <v>0.55900000000000005</v>
      </c>
      <c r="O37" s="388">
        <f t="shared" si="13"/>
        <v>0.60199999999999998</v>
      </c>
      <c r="P37" s="388">
        <f t="shared" si="13"/>
        <v>0.60199999999999998</v>
      </c>
      <c r="Q37" s="388">
        <f t="shared" si="14"/>
        <v>0.64500000000000002</v>
      </c>
      <c r="R37" s="388">
        <f t="shared" si="14"/>
        <v>0.64500000000000002</v>
      </c>
      <c r="S37" s="388" t="s">
        <v>137</v>
      </c>
    </row>
    <row r="38" spans="1:28">
      <c r="A38" s="118">
        <v>2241</v>
      </c>
      <c r="B38" s="118" t="s">
        <v>146</v>
      </c>
      <c r="C38" s="118" t="s">
        <v>146</v>
      </c>
      <c r="D38" s="118" t="s">
        <v>300</v>
      </c>
      <c r="E38" s="118" t="s">
        <v>300</v>
      </c>
      <c r="F38" s="118" t="s">
        <v>114</v>
      </c>
      <c r="G38" s="122">
        <v>0.39</v>
      </c>
      <c r="H38" s="122">
        <v>0.39</v>
      </c>
      <c r="I38" s="122">
        <f t="shared" si="10"/>
        <v>0.42900000000000005</v>
      </c>
      <c r="J38" s="122">
        <f t="shared" si="10"/>
        <v>0.42900000000000005</v>
      </c>
      <c r="K38" s="122">
        <f t="shared" si="11"/>
        <v>0.48750000000000004</v>
      </c>
      <c r="L38" s="122">
        <f t="shared" si="11"/>
        <v>0.48750000000000004</v>
      </c>
      <c r="M38" s="122">
        <f t="shared" si="12"/>
        <v>0.50700000000000001</v>
      </c>
      <c r="N38" s="122">
        <f t="shared" si="12"/>
        <v>0.50700000000000001</v>
      </c>
      <c r="O38" s="122">
        <f t="shared" si="13"/>
        <v>0.54599999999999993</v>
      </c>
      <c r="P38" s="122">
        <f t="shared" si="13"/>
        <v>0.54599999999999993</v>
      </c>
      <c r="Q38" s="122">
        <f t="shared" si="14"/>
        <v>0.58499999999999996</v>
      </c>
      <c r="R38" s="122">
        <f t="shared" si="14"/>
        <v>0.58499999999999996</v>
      </c>
      <c r="S38" s="123" t="s">
        <v>148</v>
      </c>
      <c r="T38" s="118"/>
      <c r="U38" s="118"/>
      <c r="V38" s="118"/>
      <c r="W38" s="118"/>
      <c r="X38" s="118"/>
      <c r="Y38" s="118"/>
      <c r="Z38" s="118"/>
      <c r="AA38" s="118"/>
      <c r="AB38" s="118"/>
    </row>
    <row r="39" spans="1:28">
      <c r="A39" s="118">
        <v>2242</v>
      </c>
      <c r="B39" s="118" t="s">
        <v>119</v>
      </c>
      <c r="C39" s="118" t="s">
        <v>119</v>
      </c>
      <c r="D39" s="118" t="s">
        <v>141</v>
      </c>
      <c r="E39" s="118" t="s">
        <v>141</v>
      </c>
      <c r="F39" s="118" t="s">
        <v>114</v>
      </c>
      <c r="G39" s="122">
        <v>0.39200000000000002</v>
      </c>
      <c r="H39" s="122">
        <v>0.39200000000000002</v>
      </c>
      <c r="I39" s="122">
        <f t="shared" si="10"/>
        <v>0.43120000000000003</v>
      </c>
      <c r="J39" s="122">
        <f t="shared" si="10"/>
        <v>0.43120000000000003</v>
      </c>
      <c r="K39" s="122">
        <f t="shared" si="11"/>
        <v>0.49</v>
      </c>
      <c r="L39" s="122">
        <f t="shared" si="11"/>
        <v>0.49</v>
      </c>
      <c r="M39" s="122">
        <f t="shared" si="12"/>
        <v>0.50960000000000005</v>
      </c>
      <c r="N39" s="122">
        <f t="shared" si="12"/>
        <v>0.50960000000000005</v>
      </c>
      <c r="O39" s="122">
        <f t="shared" si="13"/>
        <v>0.54879999999999995</v>
      </c>
      <c r="P39" s="122">
        <f t="shared" si="13"/>
        <v>0.54879999999999995</v>
      </c>
      <c r="Q39" s="122">
        <f t="shared" si="14"/>
        <v>0.58800000000000008</v>
      </c>
      <c r="R39" s="122">
        <f t="shared" si="14"/>
        <v>0.58800000000000008</v>
      </c>
      <c r="S39" s="123" t="s">
        <v>148</v>
      </c>
      <c r="T39" s="118"/>
      <c r="U39" s="118"/>
      <c r="V39" s="118"/>
      <c r="W39" s="118"/>
      <c r="X39" s="118"/>
      <c r="Y39" s="118"/>
      <c r="Z39" s="118"/>
      <c r="AA39" s="118"/>
      <c r="AB39" s="118"/>
    </row>
    <row r="40" spans="1:28">
      <c r="A40" s="118">
        <v>2243</v>
      </c>
      <c r="B40" s="118" t="s">
        <v>121</v>
      </c>
      <c r="C40" s="118" t="s">
        <v>121</v>
      </c>
      <c r="D40" s="118" t="s">
        <v>144</v>
      </c>
      <c r="E40" s="118" t="s">
        <v>144</v>
      </c>
      <c r="F40" s="118" t="s">
        <v>130</v>
      </c>
      <c r="G40" s="122">
        <v>0.42399999999999999</v>
      </c>
      <c r="H40" s="122">
        <v>0.42399999999999999</v>
      </c>
      <c r="I40" s="122">
        <f t="shared" si="10"/>
        <v>0.46640000000000004</v>
      </c>
      <c r="J40" s="122">
        <f t="shared" si="10"/>
        <v>0.46640000000000004</v>
      </c>
      <c r="K40" s="122">
        <f t="shared" si="11"/>
        <v>0.53</v>
      </c>
      <c r="L40" s="122">
        <f t="shared" si="11"/>
        <v>0.53</v>
      </c>
      <c r="M40" s="122">
        <f t="shared" si="12"/>
        <v>0.55120000000000002</v>
      </c>
      <c r="N40" s="122">
        <f t="shared" si="12"/>
        <v>0.55120000000000002</v>
      </c>
      <c r="O40" s="122">
        <f t="shared" si="13"/>
        <v>0.59359999999999991</v>
      </c>
      <c r="P40" s="122">
        <f t="shared" si="13"/>
        <v>0.59359999999999991</v>
      </c>
      <c r="Q40" s="122">
        <f t="shared" si="14"/>
        <v>0.63600000000000001</v>
      </c>
      <c r="R40" s="122">
        <f t="shared" si="14"/>
        <v>0.63600000000000001</v>
      </c>
      <c r="S40" s="123" t="s">
        <v>148</v>
      </c>
      <c r="T40" s="118"/>
      <c r="U40" s="118"/>
      <c r="V40" s="118"/>
      <c r="W40" s="118"/>
      <c r="X40" s="118"/>
      <c r="Y40" s="118"/>
      <c r="Z40" s="118"/>
      <c r="AA40" s="118"/>
      <c r="AB40" s="118"/>
    </row>
    <row r="41" spans="1:28">
      <c r="A41" s="118">
        <v>2244</v>
      </c>
      <c r="B41" s="118" t="s">
        <v>149</v>
      </c>
      <c r="C41" s="118" t="s">
        <v>149</v>
      </c>
      <c r="D41" s="118" t="s">
        <v>144</v>
      </c>
      <c r="E41" s="118" t="s">
        <v>144</v>
      </c>
      <c r="F41" s="118" t="s">
        <v>130</v>
      </c>
      <c r="G41" s="122">
        <v>0.37</v>
      </c>
      <c r="H41" s="122">
        <v>0.37</v>
      </c>
      <c r="I41" s="122">
        <f t="shared" si="10"/>
        <v>0.40700000000000003</v>
      </c>
      <c r="J41" s="122">
        <f t="shared" si="10"/>
        <v>0.40700000000000003</v>
      </c>
      <c r="K41" s="122">
        <f t="shared" si="11"/>
        <v>0.46250000000000002</v>
      </c>
      <c r="L41" s="122">
        <f t="shared" si="11"/>
        <v>0.46250000000000002</v>
      </c>
      <c r="M41" s="122">
        <f t="shared" si="12"/>
        <v>0.48099999999999998</v>
      </c>
      <c r="N41" s="122">
        <f t="shared" si="12"/>
        <v>0.48099999999999998</v>
      </c>
      <c r="O41" s="122">
        <f t="shared" si="13"/>
        <v>0.51800000000000002</v>
      </c>
      <c r="P41" s="122">
        <f t="shared" si="13"/>
        <v>0.51800000000000002</v>
      </c>
      <c r="Q41" s="122">
        <f t="shared" si="14"/>
        <v>0.55499999999999994</v>
      </c>
      <c r="R41" s="122">
        <f t="shared" si="14"/>
        <v>0.55499999999999994</v>
      </c>
      <c r="S41" s="123" t="s">
        <v>150</v>
      </c>
      <c r="T41" s="118"/>
      <c r="U41" s="118"/>
      <c r="V41" s="118"/>
      <c r="W41" s="118"/>
      <c r="X41" s="118"/>
      <c r="Y41" s="118"/>
      <c r="Z41" s="118"/>
      <c r="AA41" s="118"/>
      <c r="AB41" s="118"/>
    </row>
    <row r="42" spans="1:28">
      <c r="A42" s="118">
        <v>2245</v>
      </c>
      <c r="B42" s="118" t="s">
        <v>151</v>
      </c>
      <c r="C42" s="118" t="s">
        <v>151</v>
      </c>
      <c r="D42" s="124" t="s">
        <v>152</v>
      </c>
      <c r="E42" s="124" t="s">
        <v>152</v>
      </c>
      <c r="F42" s="118" t="s">
        <v>130</v>
      </c>
      <c r="G42" s="122">
        <v>0.39300000000000002</v>
      </c>
      <c r="H42" s="122">
        <v>0.39300000000000002</v>
      </c>
      <c r="I42" s="122">
        <f t="shared" si="10"/>
        <v>0.43230000000000007</v>
      </c>
      <c r="J42" s="122">
        <f t="shared" si="10"/>
        <v>0.43230000000000007</v>
      </c>
      <c r="K42" s="122">
        <f t="shared" si="11"/>
        <v>0.49125000000000002</v>
      </c>
      <c r="L42" s="122">
        <f t="shared" si="11"/>
        <v>0.49125000000000002</v>
      </c>
      <c r="M42" s="122">
        <f t="shared" si="12"/>
        <v>0.51090000000000002</v>
      </c>
      <c r="N42" s="122">
        <f t="shared" si="12"/>
        <v>0.51090000000000002</v>
      </c>
      <c r="O42" s="122">
        <f t="shared" si="13"/>
        <v>0.55020000000000002</v>
      </c>
      <c r="P42" s="122">
        <f t="shared" si="13"/>
        <v>0.55020000000000002</v>
      </c>
      <c r="Q42" s="122">
        <f t="shared" si="14"/>
        <v>0.58950000000000002</v>
      </c>
      <c r="R42" s="122">
        <f t="shared" si="14"/>
        <v>0.58950000000000002</v>
      </c>
      <c r="S42" s="123" t="s">
        <v>153</v>
      </c>
      <c r="T42" s="118"/>
      <c r="U42" s="118"/>
      <c r="V42" s="118"/>
      <c r="W42" s="118"/>
      <c r="X42" s="118"/>
      <c r="Y42" s="118"/>
      <c r="Z42" s="118"/>
      <c r="AA42" s="118"/>
      <c r="AB42" s="118"/>
    </row>
    <row r="43" spans="1:28">
      <c r="A43" s="118">
        <v>2246</v>
      </c>
      <c r="B43" s="118" t="s">
        <v>151</v>
      </c>
      <c r="C43" s="118" t="s">
        <v>151</v>
      </c>
      <c r="D43" s="118" t="s">
        <v>128</v>
      </c>
      <c r="E43" s="118" t="s">
        <v>128</v>
      </c>
      <c r="F43" s="118" t="s">
        <v>130</v>
      </c>
      <c r="G43" s="122">
        <v>0.436</v>
      </c>
      <c r="H43" s="122">
        <v>0.436</v>
      </c>
      <c r="I43" s="122">
        <f t="shared" si="10"/>
        <v>0.47960000000000003</v>
      </c>
      <c r="J43" s="122">
        <f t="shared" si="10"/>
        <v>0.47960000000000003</v>
      </c>
      <c r="K43" s="122">
        <f t="shared" si="11"/>
        <v>0.54500000000000004</v>
      </c>
      <c r="L43" s="122">
        <f t="shared" si="11"/>
        <v>0.54500000000000004</v>
      </c>
      <c r="M43" s="122">
        <f t="shared" si="12"/>
        <v>0.56679999999999997</v>
      </c>
      <c r="N43" s="122">
        <f t="shared" si="12"/>
        <v>0.56679999999999997</v>
      </c>
      <c r="O43" s="122">
        <f t="shared" si="13"/>
        <v>0.61039999999999994</v>
      </c>
      <c r="P43" s="122">
        <f t="shared" si="13"/>
        <v>0.61039999999999994</v>
      </c>
      <c r="Q43" s="122">
        <f t="shared" si="14"/>
        <v>0.65400000000000003</v>
      </c>
      <c r="R43" s="122">
        <f t="shared" si="14"/>
        <v>0.65400000000000003</v>
      </c>
      <c r="S43" s="123" t="s">
        <v>150</v>
      </c>
      <c r="T43" s="118"/>
      <c r="U43" s="118"/>
      <c r="V43" s="118"/>
      <c r="W43" s="118"/>
      <c r="X43" s="118"/>
      <c r="Y43" s="118"/>
      <c r="Z43" s="118"/>
      <c r="AA43" s="118"/>
      <c r="AB43" s="118"/>
    </row>
    <row r="44" spans="1:28">
      <c r="A44" s="118">
        <v>2247</v>
      </c>
      <c r="B44" s="118" t="s">
        <v>154</v>
      </c>
      <c r="C44" s="118" t="s">
        <v>154</v>
      </c>
      <c r="D44" s="118" t="s">
        <v>140</v>
      </c>
      <c r="E44" s="118" t="s">
        <v>140</v>
      </c>
      <c r="F44" s="118" t="s">
        <v>130</v>
      </c>
      <c r="G44" s="122">
        <v>0.40799999999999997</v>
      </c>
      <c r="H44" s="122">
        <v>0.40799999999999997</v>
      </c>
      <c r="I44" s="122">
        <f t="shared" si="10"/>
        <v>0.44880000000000003</v>
      </c>
      <c r="J44" s="122">
        <f t="shared" si="10"/>
        <v>0.44880000000000003</v>
      </c>
      <c r="K44" s="122">
        <f t="shared" si="11"/>
        <v>0.51</v>
      </c>
      <c r="L44" s="122">
        <f t="shared" si="11"/>
        <v>0.51</v>
      </c>
      <c r="M44" s="122">
        <f t="shared" si="12"/>
        <v>0.53039999999999998</v>
      </c>
      <c r="N44" s="122">
        <f t="shared" si="12"/>
        <v>0.53039999999999998</v>
      </c>
      <c r="O44" s="122">
        <f t="shared" si="13"/>
        <v>0.57119999999999993</v>
      </c>
      <c r="P44" s="122">
        <f t="shared" si="13"/>
        <v>0.57119999999999993</v>
      </c>
      <c r="Q44" s="122">
        <f t="shared" si="14"/>
        <v>0.61199999999999999</v>
      </c>
      <c r="R44" s="122">
        <f t="shared" si="14"/>
        <v>0.61199999999999999</v>
      </c>
      <c r="S44" s="123" t="s">
        <v>150</v>
      </c>
      <c r="T44" s="118"/>
      <c r="U44" s="118"/>
      <c r="V44" s="118"/>
      <c r="W44" s="118"/>
      <c r="X44" s="118"/>
      <c r="Y44" s="118"/>
      <c r="Z44" s="118"/>
      <c r="AA44" s="118"/>
      <c r="AB44" s="118"/>
    </row>
    <row r="45" spans="1:28">
      <c r="A45" s="118">
        <v>2248</v>
      </c>
      <c r="B45" s="118" t="s">
        <v>155</v>
      </c>
      <c r="C45" s="118" t="s">
        <v>155</v>
      </c>
      <c r="D45" s="118" t="s">
        <v>111</v>
      </c>
      <c r="E45" s="118" t="s">
        <v>111</v>
      </c>
      <c r="F45" s="118" t="s">
        <v>130</v>
      </c>
      <c r="G45" s="122">
        <v>0.42599999999999999</v>
      </c>
      <c r="H45" s="122">
        <v>0.42599999999999999</v>
      </c>
      <c r="I45" s="122">
        <f t="shared" si="10"/>
        <v>0.46860000000000002</v>
      </c>
      <c r="J45" s="122">
        <f t="shared" si="10"/>
        <v>0.46860000000000002</v>
      </c>
      <c r="K45" s="122">
        <f t="shared" si="11"/>
        <v>0.53249999999999997</v>
      </c>
      <c r="L45" s="122">
        <f t="shared" si="11"/>
        <v>0.53249999999999997</v>
      </c>
      <c r="M45" s="122">
        <f t="shared" si="12"/>
        <v>0.55379999999999996</v>
      </c>
      <c r="N45" s="122">
        <f t="shared" si="12"/>
        <v>0.55379999999999996</v>
      </c>
      <c r="O45" s="122">
        <f t="shared" si="13"/>
        <v>0.59639999999999993</v>
      </c>
      <c r="P45" s="122">
        <f t="shared" si="13"/>
        <v>0.59639999999999993</v>
      </c>
      <c r="Q45" s="122">
        <f t="shared" si="14"/>
        <v>0.63900000000000001</v>
      </c>
      <c r="R45" s="122">
        <f t="shared" si="14"/>
        <v>0.63900000000000001</v>
      </c>
      <c r="S45" s="123" t="s">
        <v>150</v>
      </c>
      <c r="T45" s="118"/>
      <c r="U45" s="118"/>
      <c r="V45" s="118"/>
      <c r="W45" s="118"/>
      <c r="X45" s="118"/>
      <c r="Y45" s="118"/>
      <c r="Z45" s="118"/>
      <c r="AA45" s="118"/>
      <c r="AB45" s="118"/>
    </row>
    <row r="46" spans="1:28">
      <c r="A46" s="118">
        <v>2249</v>
      </c>
      <c r="B46" s="118" t="s">
        <v>156</v>
      </c>
      <c r="C46" s="118" t="s">
        <v>156</v>
      </c>
      <c r="D46" s="118" t="s">
        <v>125</v>
      </c>
      <c r="E46" s="118" t="s">
        <v>125</v>
      </c>
      <c r="F46" s="118" t="s">
        <v>130</v>
      </c>
      <c r="G46" s="122">
        <v>0.40500000000000003</v>
      </c>
      <c r="H46" s="122">
        <v>0.40500000000000003</v>
      </c>
      <c r="I46" s="122">
        <f t="shared" si="10"/>
        <v>0.44550000000000006</v>
      </c>
      <c r="J46" s="122">
        <f t="shared" si="10"/>
        <v>0.44550000000000006</v>
      </c>
      <c r="K46" s="122">
        <f t="shared" si="11"/>
        <v>0.50625000000000009</v>
      </c>
      <c r="L46" s="122">
        <f t="shared" si="11"/>
        <v>0.50625000000000009</v>
      </c>
      <c r="M46" s="122">
        <f t="shared" si="12"/>
        <v>0.52650000000000008</v>
      </c>
      <c r="N46" s="122">
        <f t="shared" si="12"/>
        <v>0.52650000000000008</v>
      </c>
      <c r="O46" s="122">
        <f t="shared" si="13"/>
        <v>0.56699999999999995</v>
      </c>
      <c r="P46" s="122">
        <f t="shared" si="13"/>
        <v>0.56699999999999995</v>
      </c>
      <c r="Q46" s="122">
        <f t="shared" si="14"/>
        <v>0.60750000000000004</v>
      </c>
      <c r="R46" s="122">
        <f t="shared" si="14"/>
        <v>0.60750000000000004</v>
      </c>
      <c r="S46" s="123" t="s">
        <v>150</v>
      </c>
      <c r="T46" s="118"/>
      <c r="U46" s="118"/>
      <c r="V46" s="118"/>
      <c r="W46" s="118"/>
      <c r="X46" s="118"/>
      <c r="Y46" s="118"/>
      <c r="Z46" s="118"/>
      <c r="AA46" s="118"/>
      <c r="AB46" s="118"/>
    </row>
    <row r="47" spans="1:28">
      <c r="A47" s="118">
        <v>2250</v>
      </c>
      <c r="B47" s="118" t="s">
        <v>268</v>
      </c>
      <c r="C47" s="118" t="s">
        <v>268</v>
      </c>
      <c r="D47" s="118" t="s">
        <v>147</v>
      </c>
      <c r="E47" s="118" t="s">
        <v>147</v>
      </c>
      <c r="F47" s="118" t="s">
        <v>114</v>
      </c>
      <c r="G47" s="122">
        <v>0.40799999999999997</v>
      </c>
      <c r="H47" s="122">
        <v>0.40799999999999997</v>
      </c>
      <c r="I47" s="122">
        <f t="shared" si="10"/>
        <v>0.44880000000000003</v>
      </c>
      <c r="J47" s="122">
        <f t="shared" si="10"/>
        <v>0.44880000000000003</v>
      </c>
      <c r="K47" s="122">
        <f t="shared" si="11"/>
        <v>0.51</v>
      </c>
      <c r="L47" s="122">
        <f t="shared" si="11"/>
        <v>0.51</v>
      </c>
      <c r="M47" s="122">
        <f t="shared" si="12"/>
        <v>0.53039999999999998</v>
      </c>
      <c r="N47" s="122">
        <f t="shared" si="12"/>
        <v>0.53039999999999998</v>
      </c>
      <c r="O47" s="122">
        <f t="shared" si="13"/>
        <v>0.57119999999999993</v>
      </c>
      <c r="P47" s="122">
        <f t="shared" si="13"/>
        <v>0.57119999999999993</v>
      </c>
      <c r="Q47" s="122">
        <f t="shared" si="14"/>
        <v>0.61199999999999999</v>
      </c>
      <c r="R47" s="122">
        <f t="shared" si="14"/>
        <v>0.61199999999999999</v>
      </c>
      <c r="S47" s="123" t="s">
        <v>157</v>
      </c>
      <c r="T47" s="118"/>
      <c r="U47" s="118"/>
      <c r="V47" s="118"/>
      <c r="W47" s="118"/>
      <c r="X47" s="118"/>
      <c r="Y47" s="118"/>
      <c r="Z47" s="118"/>
      <c r="AA47" s="118"/>
      <c r="AB47" s="118"/>
    </row>
    <row r="48" spans="1:28">
      <c r="A48" s="118">
        <v>2280</v>
      </c>
      <c r="B48" s="118" t="s">
        <v>134</v>
      </c>
      <c r="C48" s="118" t="s">
        <v>134</v>
      </c>
      <c r="D48" s="118" t="s">
        <v>158</v>
      </c>
      <c r="E48" s="118" t="s">
        <v>158</v>
      </c>
      <c r="F48" s="118" t="s">
        <v>130</v>
      </c>
      <c r="G48" s="122">
        <v>0.35899999999999999</v>
      </c>
      <c r="H48" s="122">
        <v>0.35899999999999999</v>
      </c>
      <c r="I48" s="122">
        <f t="shared" si="10"/>
        <v>0.39490000000000003</v>
      </c>
      <c r="J48" s="122">
        <f t="shared" si="10"/>
        <v>0.39490000000000003</v>
      </c>
      <c r="K48" s="122">
        <f t="shared" si="11"/>
        <v>0.44874999999999998</v>
      </c>
      <c r="L48" s="122">
        <f t="shared" si="11"/>
        <v>0.44874999999999998</v>
      </c>
      <c r="M48" s="122">
        <f t="shared" si="12"/>
        <v>0.4667</v>
      </c>
      <c r="N48" s="122">
        <f t="shared" si="12"/>
        <v>0.4667</v>
      </c>
      <c r="O48" s="122">
        <f t="shared" si="13"/>
        <v>0.50259999999999994</v>
      </c>
      <c r="P48" s="122">
        <f t="shared" si="13"/>
        <v>0.50259999999999994</v>
      </c>
      <c r="Q48" s="122">
        <f t="shared" si="14"/>
        <v>0.53849999999999998</v>
      </c>
      <c r="R48" s="122">
        <f t="shared" si="14"/>
        <v>0.53849999999999998</v>
      </c>
      <c r="S48" s="123" t="s">
        <v>404</v>
      </c>
      <c r="T48" s="118"/>
      <c r="U48" s="118"/>
      <c r="V48" s="118"/>
      <c r="W48" s="118"/>
      <c r="X48" s="118"/>
      <c r="Y48" s="118"/>
      <c r="Z48" s="118"/>
      <c r="AA48" s="118"/>
      <c r="AB48" s="118"/>
    </row>
    <row r="49" spans="1:28">
      <c r="A49" s="118">
        <v>2207</v>
      </c>
      <c r="B49" s="118" t="s">
        <v>111</v>
      </c>
      <c r="C49" s="118" t="s">
        <v>111</v>
      </c>
      <c r="D49" s="118" t="s">
        <v>159</v>
      </c>
      <c r="E49" s="118" t="s">
        <v>159</v>
      </c>
      <c r="F49" s="118" t="s">
        <v>130</v>
      </c>
      <c r="G49" s="122">
        <v>0.47299999999999998</v>
      </c>
      <c r="H49" s="122">
        <v>0.47299999999999998</v>
      </c>
      <c r="I49" s="122">
        <f t="shared" si="10"/>
        <v>0.52029999999999998</v>
      </c>
      <c r="J49" s="122">
        <f t="shared" si="10"/>
        <v>0.52029999999999998</v>
      </c>
      <c r="K49" s="122">
        <f t="shared" si="11"/>
        <v>0.59124999999999994</v>
      </c>
      <c r="L49" s="122">
        <f t="shared" si="11"/>
        <v>0.59124999999999994</v>
      </c>
      <c r="M49" s="122">
        <f t="shared" si="12"/>
        <v>0.6149</v>
      </c>
      <c r="N49" s="122">
        <f t="shared" si="12"/>
        <v>0.6149</v>
      </c>
      <c r="O49" s="122">
        <f t="shared" si="13"/>
        <v>0.6621999999999999</v>
      </c>
      <c r="P49" s="122">
        <f t="shared" si="13"/>
        <v>0.6621999999999999</v>
      </c>
      <c r="Q49" s="122">
        <f t="shared" si="14"/>
        <v>0.70950000000000002</v>
      </c>
      <c r="R49" s="122">
        <f t="shared" si="14"/>
        <v>0.70950000000000002</v>
      </c>
      <c r="S49" s="123" t="s">
        <v>143</v>
      </c>
      <c r="T49" s="118"/>
      <c r="U49" s="118"/>
      <c r="V49" s="118"/>
      <c r="W49" s="118"/>
      <c r="X49" s="118"/>
      <c r="Y49" s="118"/>
      <c r="Z49" s="118"/>
      <c r="AA49" s="118"/>
      <c r="AB49" s="118"/>
    </row>
    <row r="50" spans="1:28">
      <c r="A50" s="118">
        <v>2208</v>
      </c>
      <c r="B50" s="118" t="s">
        <v>160</v>
      </c>
      <c r="C50" s="118" t="s">
        <v>160</v>
      </c>
      <c r="D50" s="118" t="s">
        <v>161</v>
      </c>
      <c r="E50" s="118" t="s">
        <v>161</v>
      </c>
      <c r="F50" s="118" t="s">
        <v>130</v>
      </c>
      <c r="G50" s="122">
        <v>0.41099999999999998</v>
      </c>
      <c r="H50" s="122">
        <v>0.41099999999999998</v>
      </c>
      <c r="I50" s="122">
        <f t="shared" si="10"/>
        <v>0.4521</v>
      </c>
      <c r="J50" s="122">
        <f t="shared" si="10"/>
        <v>0.4521</v>
      </c>
      <c r="K50" s="122">
        <f t="shared" si="11"/>
        <v>0.51374999999999993</v>
      </c>
      <c r="L50" s="122">
        <f t="shared" si="11"/>
        <v>0.51374999999999993</v>
      </c>
      <c r="M50" s="122">
        <f t="shared" si="12"/>
        <v>0.5343</v>
      </c>
      <c r="N50" s="122">
        <f t="shared" si="12"/>
        <v>0.5343</v>
      </c>
      <c r="O50" s="122">
        <f t="shared" si="13"/>
        <v>0.57539999999999991</v>
      </c>
      <c r="P50" s="122">
        <f t="shared" si="13"/>
        <v>0.57539999999999991</v>
      </c>
      <c r="Q50" s="122">
        <f t="shared" si="14"/>
        <v>0.61649999999999994</v>
      </c>
      <c r="R50" s="122">
        <f t="shared" si="14"/>
        <v>0.61649999999999994</v>
      </c>
      <c r="S50" s="123" t="s">
        <v>162</v>
      </c>
    </row>
    <row r="51" spans="1:28">
      <c r="A51" s="118">
        <v>2209</v>
      </c>
      <c r="B51" s="118" t="s">
        <v>108</v>
      </c>
      <c r="C51" s="118" t="s">
        <v>108</v>
      </c>
      <c r="D51" s="118" t="s">
        <v>163</v>
      </c>
      <c r="E51" s="118" t="s">
        <v>163</v>
      </c>
      <c r="F51" s="118" t="s">
        <v>130</v>
      </c>
      <c r="G51" s="122">
        <v>0.39600000000000002</v>
      </c>
      <c r="H51" s="122">
        <v>0.39600000000000002</v>
      </c>
      <c r="I51" s="122">
        <f t="shared" si="10"/>
        <v>0.43560000000000004</v>
      </c>
      <c r="J51" s="122">
        <f t="shared" si="10"/>
        <v>0.43560000000000004</v>
      </c>
      <c r="K51" s="122">
        <f t="shared" si="11"/>
        <v>0.495</v>
      </c>
      <c r="L51" s="122">
        <f t="shared" si="11"/>
        <v>0.495</v>
      </c>
      <c r="M51" s="122">
        <f t="shared" si="12"/>
        <v>0.51480000000000004</v>
      </c>
      <c r="N51" s="122">
        <f t="shared" si="12"/>
        <v>0.51480000000000004</v>
      </c>
      <c r="O51" s="122">
        <f t="shared" si="13"/>
        <v>0.5544</v>
      </c>
      <c r="P51" s="122">
        <f t="shared" si="13"/>
        <v>0.5544</v>
      </c>
      <c r="Q51" s="122">
        <f t="shared" si="14"/>
        <v>0.59400000000000008</v>
      </c>
      <c r="R51" s="122">
        <f t="shared" si="14"/>
        <v>0.59400000000000008</v>
      </c>
      <c r="S51" s="123" t="s">
        <v>164</v>
      </c>
    </row>
    <row r="52" spans="1:28">
      <c r="A52" s="118">
        <v>2210</v>
      </c>
      <c r="B52" s="118" t="s">
        <v>112</v>
      </c>
      <c r="C52" s="118" t="s">
        <v>112</v>
      </c>
      <c r="D52" s="118" t="s">
        <v>147</v>
      </c>
      <c r="E52" s="118" t="s">
        <v>147</v>
      </c>
      <c r="F52" s="118" t="s">
        <v>130</v>
      </c>
      <c r="G52" s="122">
        <v>0.439</v>
      </c>
      <c r="H52" s="122">
        <v>0.439</v>
      </c>
      <c r="I52" s="122">
        <f t="shared" si="10"/>
        <v>0.48290000000000005</v>
      </c>
      <c r="J52" s="122">
        <f t="shared" si="10"/>
        <v>0.48290000000000005</v>
      </c>
      <c r="K52" s="122">
        <f t="shared" si="11"/>
        <v>0.54874999999999996</v>
      </c>
      <c r="L52" s="122">
        <f t="shared" si="11"/>
        <v>0.54874999999999996</v>
      </c>
      <c r="M52" s="122">
        <f t="shared" si="12"/>
        <v>0.57069999999999999</v>
      </c>
      <c r="N52" s="122">
        <f t="shared" si="12"/>
        <v>0.57069999999999999</v>
      </c>
      <c r="O52" s="122">
        <f t="shared" si="13"/>
        <v>0.61459999999999992</v>
      </c>
      <c r="P52" s="122">
        <f t="shared" si="13"/>
        <v>0.61459999999999992</v>
      </c>
      <c r="Q52" s="122">
        <f t="shared" si="14"/>
        <v>0.65849999999999997</v>
      </c>
      <c r="R52" s="122">
        <f t="shared" si="14"/>
        <v>0.65849999999999997</v>
      </c>
      <c r="S52" s="123" t="s">
        <v>143</v>
      </c>
      <c r="T52" s="108"/>
      <c r="U52" s="108"/>
      <c r="V52" s="108"/>
      <c r="W52" s="108"/>
      <c r="X52" s="108"/>
      <c r="Y52" s="108"/>
      <c r="Z52" s="108"/>
      <c r="AA52" s="108"/>
      <c r="AB52" s="108"/>
    </row>
    <row r="53" spans="1:28">
      <c r="A53" s="118">
        <v>2211</v>
      </c>
      <c r="B53" s="118" t="s">
        <v>165</v>
      </c>
      <c r="C53" s="118" t="s">
        <v>165</v>
      </c>
      <c r="D53" s="118" t="s">
        <v>108</v>
      </c>
      <c r="E53" s="118" t="s">
        <v>108</v>
      </c>
      <c r="F53" s="118" t="s">
        <v>130</v>
      </c>
      <c r="G53" s="122">
        <v>0.44800000000000001</v>
      </c>
      <c r="H53" s="122">
        <v>0.44800000000000001</v>
      </c>
      <c r="I53" s="122">
        <f t="shared" si="10"/>
        <v>0.49280000000000007</v>
      </c>
      <c r="J53" s="122">
        <f t="shared" si="10"/>
        <v>0.49280000000000007</v>
      </c>
      <c r="K53" s="122">
        <f t="shared" si="11"/>
        <v>0.56000000000000005</v>
      </c>
      <c r="L53" s="122">
        <f t="shared" si="11"/>
        <v>0.56000000000000005</v>
      </c>
      <c r="M53" s="122">
        <f t="shared" si="12"/>
        <v>0.58240000000000003</v>
      </c>
      <c r="N53" s="122">
        <f t="shared" si="12"/>
        <v>0.58240000000000003</v>
      </c>
      <c r="O53" s="122">
        <f t="shared" si="13"/>
        <v>0.62719999999999998</v>
      </c>
      <c r="P53" s="122">
        <f t="shared" si="13"/>
        <v>0.62719999999999998</v>
      </c>
      <c r="Q53" s="122">
        <f t="shared" si="14"/>
        <v>0.67200000000000004</v>
      </c>
      <c r="R53" s="122">
        <f t="shared" si="14"/>
        <v>0.67200000000000004</v>
      </c>
      <c r="S53" s="123" t="s">
        <v>143</v>
      </c>
      <c r="T53" s="108"/>
      <c r="U53" s="108"/>
      <c r="V53" s="108"/>
      <c r="W53" s="108"/>
      <c r="X53" s="108"/>
      <c r="Y53" s="108"/>
      <c r="Z53" s="108"/>
      <c r="AA53" s="108"/>
      <c r="AB53" s="108"/>
    </row>
    <row r="54" spans="1:28">
      <c r="A54" s="118">
        <v>2212</v>
      </c>
      <c r="B54" s="118" t="s">
        <v>166</v>
      </c>
      <c r="C54" s="118" t="s">
        <v>166</v>
      </c>
      <c r="D54" s="118" t="s">
        <v>40</v>
      </c>
      <c r="E54" s="118" t="s">
        <v>40</v>
      </c>
      <c r="F54" s="118" t="s">
        <v>130</v>
      </c>
      <c r="G54" s="122">
        <v>0.44600000000000001</v>
      </c>
      <c r="H54" s="122">
        <v>0.44600000000000001</v>
      </c>
      <c r="I54" s="122">
        <f t="shared" si="10"/>
        <v>0.49060000000000004</v>
      </c>
      <c r="J54" s="122">
        <f t="shared" si="10"/>
        <v>0.49060000000000004</v>
      </c>
      <c r="K54" s="122">
        <f t="shared" si="11"/>
        <v>0.5575</v>
      </c>
      <c r="L54" s="122">
        <f t="shared" si="11"/>
        <v>0.5575</v>
      </c>
      <c r="M54" s="122">
        <f t="shared" si="12"/>
        <v>0.57979999999999998</v>
      </c>
      <c r="N54" s="122">
        <f t="shared" si="12"/>
        <v>0.57979999999999998</v>
      </c>
      <c r="O54" s="122">
        <f t="shared" si="13"/>
        <v>0.62439999999999996</v>
      </c>
      <c r="P54" s="122">
        <f t="shared" si="13"/>
        <v>0.62439999999999996</v>
      </c>
      <c r="Q54" s="122">
        <f t="shared" si="14"/>
        <v>0.66900000000000004</v>
      </c>
      <c r="R54" s="122">
        <f t="shared" si="14"/>
        <v>0.66900000000000004</v>
      </c>
      <c r="S54" s="123" t="s">
        <v>150</v>
      </c>
      <c r="T54" s="108"/>
      <c r="U54" s="108"/>
      <c r="V54" s="108"/>
      <c r="W54" s="108"/>
      <c r="X54" s="108"/>
      <c r="Y54" s="108"/>
      <c r="Z54" s="108"/>
      <c r="AA54" s="108"/>
      <c r="AB54" s="108"/>
    </row>
    <row r="55" spans="1:28">
      <c r="A55" s="118">
        <v>2213</v>
      </c>
      <c r="B55" s="118" t="s">
        <v>167</v>
      </c>
      <c r="C55" s="118" t="s">
        <v>167</v>
      </c>
      <c r="D55" s="118">
        <v>274</v>
      </c>
      <c r="E55" s="118">
        <v>274</v>
      </c>
      <c r="F55" s="118" t="s">
        <v>130</v>
      </c>
      <c r="G55" s="122">
        <v>0.44600000000000001</v>
      </c>
      <c r="H55" s="122">
        <v>0.44600000000000001</v>
      </c>
      <c r="I55" s="122">
        <f t="shared" si="10"/>
        <v>0.49060000000000004</v>
      </c>
      <c r="J55" s="122">
        <f t="shared" si="10"/>
        <v>0.49060000000000004</v>
      </c>
      <c r="K55" s="122">
        <f t="shared" si="11"/>
        <v>0.5575</v>
      </c>
      <c r="L55" s="122">
        <f t="shared" si="11"/>
        <v>0.5575</v>
      </c>
      <c r="M55" s="122">
        <f t="shared" si="12"/>
        <v>0.57979999999999998</v>
      </c>
      <c r="N55" s="122">
        <f t="shared" si="12"/>
        <v>0.57979999999999998</v>
      </c>
      <c r="O55" s="122">
        <f t="shared" si="13"/>
        <v>0.62439999999999996</v>
      </c>
      <c r="P55" s="122">
        <f t="shared" si="13"/>
        <v>0.62439999999999996</v>
      </c>
      <c r="Q55" s="122">
        <f t="shared" si="14"/>
        <v>0.66900000000000004</v>
      </c>
      <c r="R55" s="122">
        <f t="shared" si="14"/>
        <v>0.66900000000000004</v>
      </c>
      <c r="S55" s="123" t="s">
        <v>150</v>
      </c>
      <c r="T55" s="108"/>
      <c r="U55" s="108"/>
      <c r="V55" s="108"/>
      <c r="W55" s="108"/>
      <c r="X55" s="108"/>
      <c r="Y55" s="108"/>
      <c r="Z55" s="108"/>
      <c r="AA55" s="108"/>
      <c r="AB55" s="108"/>
    </row>
    <row r="56" spans="1:28">
      <c r="A56" s="118">
        <v>2214</v>
      </c>
      <c r="B56" s="118" t="s">
        <v>168</v>
      </c>
      <c r="C56" s="118" t="s">
        <v>168</v>
      </c>
      <c r="D56" s="118" t="s">
        <v>169</v>
      </c>
      <c r="E56" s="118" t="s">
        <v>169</v>
      </c>
      <c r="F56" s="118" t="s">
        <v>130</v>
      </c>
      <c r="G56" s="122">
        <v>0.44600000000000001</v>
      </c>
      <c r="H56" s="122">
        <v>0.44600000000000001</v>
      </c>
      <c r="I56" s="122">
        <f t="shared" si="10"/>
        <v>0.49060000000000004</v>
      </c>
      <c r="J56" s="122">
        <f t="shared" si="10"/>
        <v>0.49060000000000004</v>
      </c>
      <c r="K56" s="122">
        <f t="shared" si="11"/>
        <v>0.5575</v>
      </c>
      <c r="L56" s="122">
        <f t="shared" si="11"/>
        <v>0.5575</v>
      </c>
      <c r="M56" s="122">
        <f t="shared" si="12"/>
        <v>0.57979999999999998</v>
      </c>
      <c r="N56" s="122">
        <f t="shared" si="12"/>
        <v>0.57979999999999998</v>
      </c>
      <c r="O56" s="122">
        <f t="shared" si="13"/>
        <v>0.62439999999999996</v>
      </c>
      <c r="P56" s="122">
        <f t="shared" si="13"/>
        <v>0.62439999999999996</v>
      </c>
      <c r="Q56" s="122">
        <f t="shared" si="14"/>
        <v>0.66900000000000004</v>
      </c>
      <c r="R56" s="122">
        <f t="shared" si="14"/>
        <v>0.66900000000000004</v>
      </c>
      <c r="S56" s="123" t="s">
        <v>150</v>
      </c>
      <c r="T56" s="108"/>
      <c r="U56" s="108"/>
      <c r="V56" s="108"/>
      <c r="W56" s="108"/>
      <c r="X56" s="108"/>
      <c r="Y56" s="108"/>
      <c r="Z56" s="108"/>
      <c r="AA56" s="108"/>
      <c r="AB56" s="108"/>
    </row>
    <row r="57" spans="1:28">
      <c r="A57" s="118">
        <v>2215</v>
      </c>
      <c r="B57" s="118" t="s">
        <v>170</v>
      </c>
      <c r="C57" s="118" t="s">
        <v>170</v>
      </c>
      <c r="D57" s="124" t="s">
        <v>119</v>
      </c>
      <c r="E57" s="124" t="s">
        <v>119</v>
      </c>
      <c r="F57" s="118" t="s">
        <v>130</v>
      </c>
      <c r="G57" s="122">
        <v>0.47799999999999998</v>
      </c>
      <c r="H57" s="122">
        <v>0.47799999999999998</v>
      </c>
      <c r="I57" s="122">
        <f t="shared" si="10"/>
        <v>0.52580000000000005</v>
      </c>
      <c r="J57" s="122">
        <f t="shared" si="10"/>
        <v>0.52580000000000005</v>
      </c>
      <c r="K57" s="122">
        <f t="shared" si="11"/>
        <v>0.59749999999999992</v>
      </c>
      <c r="L57" s="122">
        <f t="shared" si="11"/>
        <v>0.59749999999999992</v>
      </c>
      <c r="M57" s="122">
        <f t="shared" si="12"/>
        <v>0.62139999999999995</v>
      </c>
      <c r="N57" s="122">
        <f t="shared" si="12"/>
        <v>0.62139999999999995</v>
      </c>
      <c r="O57" s="122">
        <f t="shared" si="13"/>
        <v>0.66919999999999991</v>
      </c>
      <c r="P57" s="122">
        <f t="shared" si="13"/>
        <v>0.66919999999999991</v>
      </c>
      <c r="Q57" s="122">
        <f t="shared" si="14"/>
        <v>0.71699999999999997</v>
      </c>
      <c r="R57" s="122">
        <f t="shared" si="14"/>
        <v>0.71699999999999997</v>
      </c>
      <c r="S57" s="123" t="s">
        <v>171</v>
      </c>
      <c r="T57" s="108"/>
      <c r="U57" s="108"/>
      <c r="V57" s="108"/>
      <c r="W57" s="108"/>
      <c r="X57" s="108"/>
      <c r="Y57" s="108"/>
      <c r="Z57" s="108"/>
      <c r="AA57" s="108"/>
      <c r="AB57" s="108"/>
    </row>
    <row r="58" spans="1:28">
      <c r="A58" s="118">
        <v>2216</v>
      </c>
      <c r="B58" s="118" t="s">
        <v>172</v>
      </c>
      <c r="C58" s="118" t="s">
        <v>172</v>
      </c>
      <c r="D58" s="124" t="s">
        <v>149</v>
      </c>
      <c r="E58" s="124" t="s">
        <v>149</v>
      </c>
      <c r="F58" s="118" t="s">
        <v>130</v>
      </c>
      <c r="G58" s="122">
        <v>0.44800000000000001</v>
      </c>
      <c r="H58" s="122">
        <v>0.44800000000000001</v>
      </c>
      <c r="I58" s="122">
        <f t="shared" ref="I58:J85" si="15">$I$6*G58</f>
        <v>0.49280000000000007</v>
      </c>
      <c r="J58" s="122">
        <f t="shared" si="15"/>
        <v>0.49280000000000007</v>
      </c>
      <c r="K58" s="122">
        <f t="shared" ref="K58:L85" si="16">$K$6*G58</f>
        <v>0.56000000000000005</v>
      </c>
      <c r="L58" s="122">
        <f t="shared" si="16"/>
        <v>0.56000000000000005</v>
      </c>
      <c r="M58" s="122">
        <f t="shared" ref="M58:N85" si="17">$M$6*G58</f>
        <v>0.58240000000000003</v>
      </c>
      <c r="N58" s="122">
        <f t="shared" si="17"/>
        <v>0.58240000000000003</v>
      </c>
      <c r="O58" s="122">
        <f t="shared" ref="O58:P85" si="18">$O$6*G58</f>
        <v>0.62719999999999998</v>
      </c>
      <c r="P58" s="122">
        <f t="shared" si="18"/>
        <v>0.62719999999999998</v>
      </c>
      <c r="Q58" s="122">
        <f t="shared" ref="Q58:R85" si="19">$Q$6*G58</f>
        <v>0.67200000000000004</v>
      </c>
      <c r="R58" s="122">
        <f t="shared" si="19"/>
        <v>0.67200000000000004</v>
      </c>
      <c r="S58" s="123" t="s">
        <v>171</v>
      </c>
      <c r="T58" s="108"/>
      <c r="U58" s="108"/>
      <c r="V58" s="108"/>
      <c r="W58" s="108"/>
      <c r="X58" s="108"/>
      <c r="Y58" s="108"/>
      <c r="Z58" s="108"/>
      <c r="AA58" s="108"/>
      <c r="AB58" s="108"/>
    </row>
    <row r="59" spans="1:28">
      <c r="A59" s="118">
        <v>2288</v>
      </c>
      <c r="B59" s="118" t="s">
        <v>173</v>
      </c>
      <c r="C59" s="118" t="s">
        <v>173</v>
      </c>
      <c r="D59" s="118" t="s">
        <v>147</v>
      </c>
      <c r="E59" s="118" t="s">
        <v>147</v>
      </c>
      <c r="F59" s="118" t="s">
        <v>114</v>
      </c>
      <c r="G59" s="122">
        <v>0.38500000000000001</v>
      </c>
      <c r="H59" s="122">
        <v>0.38500000000000001</v>
      </c>
      <c r="I59" s="122">
        <f t="shared" si="15"/>
        <v>0.42350000000000004</v>
      </c>
      <c r="J59" s="122">
        <f t="shared" si="15"/>
        <v>0.42350000000000004</v>
      </c>
      <c r="K59" s="122">
        <f t="shared" si="16"/>
        <v>0.48125000000000001</v>
      </c>
      <c r="L59" s="122">
        <f t="shared" si="16"/>
        <v>0.48125000000000001</v>
      </c>
      <c r="M59" s="122">
        <f t="shared" si="17"/>
        <v>0.50050000000000006</v>
      </c>
      <c r="N59" s="122">
        <f t="shared" si="17"/>
        <v>0.50050000000000006</v>
      </c>
      <c r="O59" s="122">
        <f t="shared" si="18"/>
        <v>0.53899999999999992</v>
      </c>
      <c r="P59" s="122">
        <f t="shared" si="18"/>
        <v>0.53899999999999992</v>
      </c>
      <c r="Q59" s="122">
        <f t="shared" si="19"/>
        <v>0.57750000000000001</v>
      </c>
      <c r="R59" s="122">
        <f t="shared" si="19"/>
        <v>0.57750000000000001</v>
      </c>
      <c r="S59" s="119" t="s">
        <v>174</v>
      </c>
      <c r="T59" s="108"/>
      <c r="U59" s="108"/>
      <c r="V59" s="108"/>
      <c r="W59" s="108"/>
      <c r="X59" s="108"/>
      <c r="Y59" s="108"/>
      <c r="Z59" s="108"/>
      <c r="AA59" s="108"/>
      <c r="AB59" s="108"/>
    </row>
    <row r="60" spans="1:28">
      <c r="A60" s="118">
        <v>2289</v>
      </c>
      <c r="B60" s="118" t="s">
        <v>154</v>
      </c>
      <c r="C60" s="118" t="s">
        <v>154</v>
      </c>
      <c r="D60" s="118" t="s">
        <v>134</v>
      </c>
      <c r="E60" s="118" t="s">
        <v>134</v>
      </c>
      <c r="F60" s="118" t="s">
        <v>114</v>
      </c>
      <c r="G60" s="122">
        <v>0.39800000000000002</v>
      </c>
      <c r="H60" s="122">
        <v>0.39800000000000002</v>
      </c>
      <c r="I60" s="122">
        <f t="shared" si="15"/>
        <v>0.43780000000000008</v>
      </c>
      <c r="J60" s="122">
        <f t="shared" si="15"/>
        <v>0.43780000000000008</v>
      </c>
      <c r="K60" s="122">
        <f t="shared" si="16"/>
        <v>0.49750000000000005</v>
      </c>
      <c r="L60" s="122">
        <f t="shared" si="16"/>
        <v>0.49750000000000005</v>
      </c>
      <c r="M60" s="122">
        <f t="shared" si="17"/>
        <v>0.51740000000000008</v>
      </c>
      <c r="N60" s="122">
        <f t="shared" si="17"/>
        <v>0.51740000000000008</v>
      </c>
      <c r="O60" s="122">
        <f t="shared" si="18"/>
        <v>0.55720000000000003</v>
      </c>
      <c r="P60" s="122">
        <f t="shared" si="18"/>
        <v>0.55720000000000003</v>
      </c>
      <c r="Q60" s="122">
        <f t="shared" si="19"/>
        <v>0.59699999999999998</v>
      </c>
      <c r="R60" s="122">
        <f t="shared" si="19"/>
        <v>0.59699999999999998</v>
      </c>
      <c r="S60" s="119" t="s">
        <v>174</v>
      </c>
      <c r="T60" s="108"/>
      <c r="U60" s="108"/>
      <c r="V60" s="108"/>
      <c r="W60" s="108"/>
      <c r="X60" s="108"/>
      <c r="Y60" s="108"/>
      <c r="Z60" s="108"/>
      <c r="AA60" s="108"/>
      <c r="AB60" s="108"/>
    </row>
    <row r="61" spans="1:28">
      <c r="A61" s="118">
        <v>2290</v>
      </c>
      <c r="B61" s="118" t="s">
        <v>168</v>
      </c>
      <c r="C61" s="118" t="s">
        <v>168</v>
      </c>
      <c r="D61" s="118" t="s">
        <v>175</v>
      </c>
      <c r="E61" s="118" t="s">
        <v>175</v>
      </c>
      <c r="F61" s="118" t="s">
        <v>114</v>
      </c>
      <c r="G61" s="122">
        <v>0.436</v>
      </c>
      <c r="H61" s="122">
        <v>0.436</v>
      </c>
      <c r="I61" s="122">
        <f t="shared" si="15"/>
        <v>0.47960000000000003</v>
      </c>
      <c r="J61" s="122">
        <f t="shared" si="15"/>
        <v>0.47960000000000003</v>
      </c>
      <c r="K61" s="122">
        <f t="shared" si="16"/>
        <v>0.54500000000000004</v>
      </c>
      <c r="L61" s="122">
        <f t="shared" si="16"/>
        <v>0.54500000000000004</v>
      </c>
      <c r="M61" s="122">
        <f t="shared" si="17"/>
        <v>0.56679999999999997</v>
      </c>
      <c r="N61" s="122">
        <f t="shared" si="17"/>
        <v>0.56679999999999997</v>
      </c>
      <c r="O61" s="122">
        <f t="shared" si="18"/>
        <v>0.61039999999999994</v>
      </c>
      <c r="P61" s="122">
        <f t="shared" si="18"/>
        <v>0.61039999999999994</v>
      </c>
      <c r="Q61" s="122">
        <f t="shared" si="19"/>
        <v>0.65400000000000003</v>
      </c>
      <c r="R61" s="122">
        <f t="shared" si="19"/>
        <v>0.65400000000000003</v>
      </c>
      <c r="S61" s="119" t="s">
        <v>174</v>
      </c>
      <c r="T61" s="108"/>
      <c r="U61" s="108"/>
      <c r="V61" s="108"/>
      <c r="W61" s="108"/>
      <c r="X61" s="108"/>
      <c r="Y61" s="108"/>
      <c r="Z61" s="108"/>
      <c r="AA61" s="108"/>
      <c r="AB61" s="108"/>
    </row>
    <row r="62" spans="1:28">
      <c r="A62" s="118">
        <v>2291</v>
      </c>
      <c r="B62" s="118" t="s">
        <v>176</v>
      </c>
      <c r="C62" s="118" t="s">
        <v>176</v>
      </c>
      <c r="D62" s="118" t="s">
        <v>177</v>
      </c>
      <c r="E62" s="118" t="s">
        <v>177</v>
      </c>
      <c r="F62" s="118" t="s">
        <v>114</v>
      </c>
      <c r="G62" s="122">
        <v>0.41499999999999998</v>
      </c>
      <c r="H62" s="122">
        <v>0.41499999999999998</v>
      </c>
      <c r="I62" s="122">
        <f t="shared" si="15"/>
        <v>0.45650000000000002</v>
      </c>
      <c r="J62" s="122">
        <f t="shared" si="15"/>
        <v>0.45650000000000002</v>
      </c>
      <c r="K62" s="122">
        <f t="shared" si="16"/>
        <v>0.51874999999999993</v>
      </c>
      <c r="L62" s="122">
        <f t="shared" si="16"/>
        <v>0.51874999999999993</v>
      </c>
      <c r="M62" s="122">
        <f t="shared" si="17"/>
        <v>0.53949999999999998</v>
      </c>
      <c r="N62" s="122">
        <f t="shared" si="17"/>
        <v>0.53949999999999998</v>
      </c>
      <c r="O62" s="122">
        <f t="shared" si="18"/>
        <v>0.58099999999999996</v>
      </c>
      <c r="P62" s="122">
        <f t="shared" si="18"/>
        <v>0.58099999999999996</v>
      </c>
      <c r="Q62" s="122">
        <f t="shared" si="19"/>
        <v>0.62249999999999994</v>
      </c>
      <c r="R62" s="122">
        <f t="shared" si="19"/>
        <v>0.62249999999999994</v>
      </c>
      <c r="S62" s="119" t="s">
        <v>174</v>
      </c>
      <c r="T62" s="108"/>
      <c r="U62" s="108"/>
      <c r="V62" s="108"/>
      <c r="W62" s="108"/>
      <c r="X62" s="108"/>
      <c r="Y62" s="108"/>
      <c r="Z62" s="108"/>
      <c r="AA62" s="108"/>
      <c r="AB62" s="108"/>
    </row>
    <row r="63" spans="1:28">
      <c r="A63" s="118">
        <v>2295</v>
      </c>
      <c r="B63" s="118" t="s">
        <v>151</v>
      </c>
      <c r="C63" s="118" t="s">
        <v>151</v>
      </c>
      <c r="D63" s="118" t="s">
        <v>40</v>
      </c>
      <c r="E63" s="118" t="s">
        <v>40</v>
      </c>
      <c r="F63" s="118" t="s">
        <v>114</v>
      </c>
      <c r="G63" s="122">
        <v>0.41499999999999998</v>
      </c>
      <c r="H63" s="122">
        <v>0.41499999999999998</v>
      </c>
      <c r="I63" s="122">
        <f t="shared" si="15"/>
        <v>0.45650000000000002</v>
      </c>
      <c r="J63" s="122">
        <f t="shared" si="15"/>
        <v>0.45650000000000002</v>
      </c>
      <c r="K63" s="122">
        <f t="shared" si="16"/>
        <v>0.51874999999999993</v>
      </c>
      <c r="L63" s="122">
        <f t="shared" si="16"/>
        <v>0.51874999999999993</v>
      </c>
      <c r="M63" s="122">
        <f t="shared" si="17"/>
        <v>0.53949999999999998</v>
      </c>
      <c r="N63" s="122">
        <f t="shared" si="17"/>
        <v>0.53949999999999998</v>
      </c>
      <c r="O63" s="122">
        <f t="shared" si="18"/>
        <v>0.58099999999999996</v>
      </c>
      <c r="P63" s="122">
        <f t="shared" si="18"/>
        <v>0.58099999999999996</v>
      </c>
      <c r="Q63" s="122">
        <f t="shared" si="19"/>
        <v>0.62249999999999994</v>
      </c>
      <c r="R63" s="122">
        <f t="shared" si="19"/>
        <v>0.62249999999999994</v>
      </c>
      <c r="S63" s="119" t="s">
        <v>174</v>
      </c>
      <c r="T63" s="108"/>
      <c r="U63" s="108"/>
      <c r="V63" s="108"/>
      <c r="W63" s="108"/>
      <c r="X63" s="108"/>
      <c r="Y63" s="108"/>
      <c r="Z63" s="108"/>
      <c r="AA63" s="108"/>
      <c r="AB63" s="108"/>
    </row>
    <row r="64" spans="1:28">
      <c r="A64" s="118">
        <v>2296</v>
      </c>
      <c r="B64" s="118" t="s">
        <v>168</v>
      </c>
      <c r="C64" s="118" t="s">
        <v>168</v>
      </c>
      <c r="D64" s="118" t="s">
        <v>125</v>
      </c>
      <c r="E64" s="118" t="s">
        <v>125</v>
      </c>
      <c r="F64" s="118" t="s">
        <v>114</v>
      </c>
      <c r="G64" s="122">
        <v>0.42399999999999999</v>
      </c>
      <c r="H64" s="122">
        <v>0.42399999999999999</v>
      </c>
      <c r="I64" s="122">
        <f t="shared" si="15"/>
        <v>0.46640000000000004</v>
      </c>
      <c r="J64" s="122">
        <f t="shared" si="15"/>
        <v>0.46640000000000004</v>
      </c>
      <c r="K64" s="122">
        <f t="shared" si="16"/>
        <v>0.53</v>
      </c>
      <c r="L64" s="122">
        <f t="shared" si="16"/>
        <v>0.53</v>
      </c>
      <c r="M64" s="122">
        <f t="shared" si="17"/>
        <v>0.55120000000000002</v>
      </c>
      <c r="N64" s="122">
        <f t="shared" si="17"/>
        <v>0.55120000000000002</v>
      </c>
      <c r="O64" s="122">
        <f t="shared" si="18"/>
        <v>0.59359999999999991</v>
      </c>
      <c r="P64" s="122">
        <f t="shared" si="18"/>
        <v>0.59359999999999991</v>
      </c>
      <c r="Q64" s="122">
        <f t="shared" si="19"/>
        <v>0.63600000000000001</v>
      </c>
      <c r="R64" s="122">
        <f t="shared" si="19"/>
        <v>0.63600000000000001</v>
      </c>
      <c r="S64" s="119" t="s">
        <v>174</v>
      </c>
      <c r="T64" s="108"/>
      <c r="U64" s="108"/>
      <c r="V64" s="108"/>
      <c r="W64" s="108"/>
      <c r="X64" s="108"/>
      <c r="Y64" s="108"/>
      <c r="Z64" s="108"/>
      <c r="AA64" s="108"/>
      <c r="AB64" s="108"/>
    </row>
    <row r="65" spans="1:28">
      <c r="A65" s="118">
        <v>2297</v>
      </c>
      <c r="B65" s="118" t="s">
        <v>178</v>
      </c>
      <c r="C65" s="118" t="s">
        <v>178</v>
      </c>
      <c r="D65" s="118" t="s">
        <v>179</v>
      </c>
      <c r="E65" s="118" t="s">
        <v>179</v>
      </c>
      <c r="F65" s="118" t="s">
        <v>114</v>
      </c>
      <c r="G65" s="122">
        <v>0.435</v>
      </c>
      <c r="H65" s="122">
        <v>0.435</v>
      </c>
      <c r="I65" s="122">
        <f t="shared" si="15"/>
        <v>0.47850000000000004</v>
      </c>
      <c r="J65" s="122">
        <f t="shared" si="15"/>
        <v>0.47850000000000004</v>
      </c>
      <c r="K65" s="122">
        <f t="shared" si="16"/>
        <v>0.54374999999999996</v>
      </c>
      <c r="L65" s="122">
        <f t="shared" si="16"/>
        <v>0.54374999999999996</v>
      </c>
      <c r="M65" s="122">
        <f t="shared" si="17"/>
        <v>0.5655</v>
      </c>
      <c r="N65" s="122">
        <f t="shared" si="17"/>
        <v>0.5655</v>
      </c>
      <c r="O65" s="122">
        <f t="shared" si="18"/>
        <v>0.60899999999999999</v>
      </c>
      <c r="P65" s="122">
        <f t="shared" si="18"/>
        <v>0.60899999999999999</v>
      </c>
      <c r="Q65" s="122">
        <f t="shared" si="19"/>
        <v>0.65249999999999997</v>
      </c>
      <c r="R65" s="122">
        <f t="shared" si="19"/>
        <v>0.65249999999999997</v>
      </c>
      <c r="S65" s="119" t="s">
        <v>174</v>
      </c>
      <c r="T65" s="108"/>
      <c r="U65" s="108"/>
      <c r="V65" s="108"/>
      <c r="W65" s="108"/>
      <c r="X65" s="108"/>
      <c r="Y65" s="108"/>
      <c r="Z65" s="108"/>
      <c r="AA65" s="108"/>
      <c r="AB65" s="108"/>
    </row>
    <row r="66" spans="1:28">
      <c r="A66" s="118">
        <v>2298</v>
      </c>
      <c r="B66" s="118" t="s">
        <v>170</v>
      </c>
      <c r="C66" s="118" t="s">
        <v>170</v>
      </c>
      <c r="D66" s="118" t="s">
        <v>140</v>
      </c>
      <c r="E66" s="118" t="s">
        <v>140</v>
      </c>
      <c r="F66" s="118" t="s">
        <v>114</v>
      </c>
      <c r="G66" s="122">
        <v>0.40699999999999997</v>
      </c>
      <c r="H66" s="122">
        <v>0.40699999999999997</v>
      </c>
      <c r="I66" s="122">
        <f t="shared" si="15"/>
        <v>0.44769999999999999</v>
      </c>
      <c r="J66" s="122">
        <f t="shared" si="15"/>
        <v>0.44769999999999999</v>
      </c>
      <c r="K66" s="122">
        <f t="shared" si="16"/>
        <v>0.50874999999999992</v>
      </c>
      <c r="L66" s="122">
        <f t="shared" si="16"/>
        <v>0.50874999999999992</v>
      </c>
      <c r="M66" s="122">
        <f t="shared" si="17"/>
        <v>0.52910000000000001</v>
      </c>
      <c r="N66" s="122">
        <f t="shared" si="17"/>
        <v>0.52910000000000001</v>
      </c>
      <c r="O66" s="122">
        <f t="shared" si="18"/>
        <v>0.56979999999999997</v>
      </c>
      <c r="P66" s="122">
        <f t="shared" si="18"/>
        <v>0.56979999999999997</v>
      </c>
      <c r="Q66" s="122">
        <f t="shared" si="19"/>
        <v>0.61049999999999993</v>
      </c>
      <c r="R66" s="122">
        <f t="shared" si="19"/>
        <v>0.61049999999999993</v>
      </c>
      <c r="S66" s="119" t="s">
        <v>174</v>
      </c>
      <c r="T66" s="108"/>
      <c r="U66" s="108"/>
      <c r="V66" s="108"/>
      <c r="W66" s="108"/>
      <c r="X66" s="108"/>
      <c r="Y66" s="108"/>
      <c r="Z66" s="108"/>
      <c r="AA66" s="108"/>
      <c r="AB66" s="108"/>
    </row>
    <row r="67" spans="1:28">
      <c r="A67" s="118">
        <v>2299</v>
      </c>
      <c r="B67" s="118" t="s">
        <v>154</v>
      </c>
      <c r="C67" s="118" t="s">
        <v>154</v>
      </c>
      <c r="D67" s="118" t="s">
        <v>112</v>
      </c>
      <c r="E67" s="118" t="s">
        <v>112</v>
      </c>
      <c r="F67" s="118" t="s">
        <v>114</v>
      </c>
      <c r="G67" s="122">
        <v>0.435</v>
      </c>
      <c r="H67" s="122">
        <v>0.435</v>
      </c>
      <c r="I67" s="122">
        <f t="shared" si="15"/>
        <v>0.47850000000000004</v>
      </c>
      <c r="J67" s="122">
        <f t="shared" si="15"/>
        <v>0.47850000000000004</v>
      </c>
      <c r="K67" s="122">
        <f t="shared" si="16"/>
        <v>0.54374999999999996</v>
      </c>
      <c r="L67" s="122">
        <f t="shared" si="16"/>
        <v>0.54374999999999996</v>
      </c>
      <c r="M67" s="122">
        <f t="shared" si="17"/>
        <v>0.5655</v>
      </c>
      <c r="N67" s="122">
        <f t="shared" si="17"/>
        <v>0.5655</v>
      </c>
      <c r="O67" s="122">
        <f t="shared" si="18"/>
        <v>0.60899999999999999</v>
      </c>
      <c r="P67" s="122">
        <f t="shared" si="18"/>
        <v>0.60899999999999999</v>
      </c>
      <c r="Q67" s="122">
        <f t="shared" si="19"/>
        <v>0.65249999999999997</v>
      </c>
      <c r="R67" s="122">
        <f t="shared" si="19"/>
        <v>0.65249999999999997</v>
      </c>
      <c r="S67" s="119" t="s">
        <v>174</v>
      </c>
      <c r="T67" s="108"/>
      <c r="U67" s="108"/>
      <c r="V67" s="108"/>
      <c r="W67" s="108"/>
      <c r="X67" s="108"/>
      <c r="Y67" s="108"/>
      <c r="Z67" s="108"/>
      <c r="AA67" s="108"/>
      <c r="AB67" s="108"/>
    </row>
    <row r="68" spans="1:28">
      <c r="A68" s="118">
        <v>2300</v>
      </c>
      <c r="B68" s="118" t="s">
        <v>180</v>
      </c>
      <c r="C68" s="118" t="s">
        <v>180</v>
      </c>
      <c r="D68" s="118" t="s">
        <v>138</v>
      </c>
      <c r="E68" s="118" t="s">
        <v>138</v>
      </c>
      <c r="F68" s="118" t="s">
        <v>114</v>
      </c>
      <c r="G68" s="122">
        <v>0.43</v>
      </c>
      <c r="H68" s="122">
        <v>0.43</v>
      </c>
      <c r="I68" s="122">
        <f t="shared" si="15"/>
        <v>0.47300000000000003</v>
      </c>
      <c r="J68" s="122">
        <f t="shared" si="15"/>
        <v>0.47300000000000003</v>
      </c>
      <c r="K68" s="122">
        <f t="shared" si="16"/>
        <v>0.53749999999999998</v>
      </c>
      <c r="L68" s="122">
        <f t="shared" si="16"/>
        <v>0.53749999999999998</v>
      </c>
      <c r="M68" s="122">
        <f t="shared" si="17"/>
        <v>0.55900000000000005</v>
      </c>
      <c r="N68" s="122">
        <f t="shared" si="17"/>
        <v>0.55900000000000005</v>
      </c>
      <c r="O68" s="122">
        <f t="shared" si="18"/>
        <v>0.60199999999999998</v>
      </c>
      <c r="P68" s="122">
        <f t="shared" si="18"/>
        <v>0.60199999999999998</v>
      </c>
      <c r="Q68" s="122">
        <f t="shared" si="19"/>
        <v>0.64500000000000002</v>
      </c>
      <c r="R68" s="122">
        <f t="shared" si="19"/>
        <v>0.64500000000000002</v>
      </c>
      <c r="S68" s="119" t="s">
        <v>174</v>
      </c>
      <c r="T68" s="108"/>
      <c r="U68" s="108"/>
      <c r="V68" s="108"/>
      <c r="W68" s="108"/>
      <c r="X68" s="108"/>
      <c r="Y68" s="108"/>
      <c r="Z68" s="108"/>
      <c r="AA68" s="108"/>
      <c r="AB68" s="108"/>
    </row>
    <row r="69" spans="1:28">
      <c r="A69" s="118">
        <v>2251</v>
      </c>
      <c r="B69" s="118" t="s">
        <v>132</v>
      </c>
      <c r="C69" s="118" t="s">
        <v>132</v>
      </c>
      <c r="D69" s="118" t="s">
        <v>181</v>
      </c>
      <c r="E69" s="118" t="s">
        <v>181</v>
      </c>
      <c r="F69" s="124" t="s">
        <v>130</v>
      </c>
      <c r="G69" s="118">
        <v>0.27600000000000002</v>
      </c>
      <c r="H69" s="118">
        <v>0.27600000000000002</v>
      </c>
      <c r="I69" s="122">
        <f t="shared" si="15"/>
        <v>0.30360000000000004</v>
      </c>
      <c r="J69" s="122">
        <f t="shared" si="15"/>
        <v>0.30360000000000004</v>
      </c>
      <c r="K69" s="122">
        <f t="shared" si="16"/>
        <v>0.34500000000000003</v>
      </c>
      <c r="L69" s="122">
        <f t="shared" si="16"/>
        <v>0.34500000000000003</v>
      </c>
      <c r="M69" s="122">
        <f t="shared" si="17"/>
        <v>0.35880000000000006</v>
      </c>
      <c r="N69" s="122">
        <f t="shared" si="17"/>
        <v>0.35880000000000006</v>
      </c>
      <c r="O69" s="122">
        <f t="shared" si="18"/>
        <v>0.38640000000000002</v>
      </c>
      <c r="P69" s="122">
        <f t="shared" si="18"/>
        <v>0.38640000000000002</v>
      </c>
      <c r="Q69" s="122">
        <f t="shared" si="19"/>
        <v>0.41400000000000003</v>
      </c>
      <c r="R69" s="122">
        <f t="shared" si="19"/>
        <v>0.41400000000000003</v>
      </c>
      <c r="S69" s="123" t="s">
        <v>182</v>
      </c>
      <c r="T69" s="108"/>
      <c r="U69" s="108"/>
      <c r="V69" s="108"/>
      <c r="W69" s="108"/>
      <c r="X69" s="108"/>
      <c r="Y69" s="108"/>
      <c r="Z69" s="108"/>
      <c r="AA69" s="108"/>
      <c r="AB69" s="108"/>
    </row>
    <row r="70" spans="1:28">
      <c r="A70" s="118">
        <v>2252</v>
      </c>
      <c r="B70" s="118" t="s">
        <v>40</v>
      </c>
      <c r="C70" s="118" t="s">
        <v>40</v>
      </c>
      <c r="D70" s="118" t="s">
        <v>183</v>
      </c>
      <c r="E70" s="118" t="s">
        <v>183</v>
      </c>
      <c r="F70" s="124" t="s">
        <v>130</v>
      </c>
      <c r="G70" s="118">
        <v>0.29799999999999999</v>
      </c>
      <c r="H70" s="118">
        <v>0.29799999999999999</v>
      </c>
      <c r="I70" s="122">
        <f t="shared" si="15"/>
        <v>0.32780000000000004</v>
      </c>
      <c r="J70" s="122">
        <f t="shared" si="15"/>
        <v>0.32780000000000004</v>
      </c>
      <c r="K70" s="122">
        <f t="shared" si="16"/>
        <v>0.3725</v>
      </c>
      <c r="L70" s="122">
        <f t="shared" si="16"/>
        <v>0.3725</v>
      </c>
      <c r="M70" s="122">
        <f t="shared" si="17"/>
        <v>0.38740000000000002</v>
      </c>
      <c r="N70" s="122">
        <f t="shared" si="17"/>
        <v>0.38740000000000002</v>
      </c>
      <c r="O70" s="122">
        <f t="shared" si="18"/>
        <v>0.41719999999999996</v>
      </c>
      <c r="P70" s="122">
        <f t="shared" si="18"/>
        <v>0.41719999999999996</v>
      </c>
      <c r="Q70" s="122">
        <f t="shared" si="19"/>
        <v>0.44699999999999995</v>
      </c>
      <c r="R70" s="122">
        <f t="shared" si="19"/>
        <v>0.44699999999999995</v>
      </c>
      <c r="S70" s="123" t="s">
        <v>182</v>
      </c>
      <c r="T70" s="108"/>
      <c r="U70" s="108"/>
      <c r="V70" s="108"/>
      <c r="W70" s="108"/>
      <c r="X70" s="108"/>
      <c r="Y70" s="108"/>
      <c r="Z70" s="108"/>
      <c r="AA70" s="108"/>
      <c r="AB70" s="108"/>
    </row>
    <row r="71" spans="1:28">
      <c r="A71" s="118">
        <v>2253</v>
      </c>
      <c r="B71" s="118" t="s">
        <v>119</v>
      </c>
      <c r="C71" s="118" t="s">
        <v>119</v>
      </c>
      <c r="D71" s="118" t="s">
        <v>101</v>
      </c>
      <c r="E71" s="118" t="s">
        <v>101</v>
      </c>
      <c r="F71" s="124" t="s">
        <v>130</v>
      </c>
      <c r="G71" s="118">
        <v>0.32400000000000001</v>
      </c>
      <c r="H71" s="118">
        <v>0.32400000000000001</v>
      </c>
      <c r="I71" s="122">
        <f t="shared" si="15"/>
        <v>0.35640000000000005</v>
      </c>
      <c r="J71" s="122">
        <f t="shared" si="15"/>
        <v>0.35640000000000005</v>
      </c>
      <c r="K71" s="122">
        <f t="shared" si="16"/>
        <v>0.40500000000000003</v>
      </c>
      <c r="L71" s="122">
        <f t="shared" si="16"/>
        <v>0.40500000000000003</v>
      </c>
      <c r="M71" s="122">
        <f t="shared" si="17"/>
        <v>0.42120000000000002</v>
      </c>
      <c r="N71" s="122">
        <f t="shared" si="17"/>
        <v>0.42120000000000002</v>
      </c>
      <c r="O71" s="122">
        <f t="shared" si="18"/>
        <v>0.4536</v>
      </c>
      <c r="P71" s="122">
        <f t="shared" si="18"/>
        <v>0.4536</v>
      </c>
      <c r="Q71" s="122">
        <f t="shared" si="19"/>
        <v>0.48599999999999999</v>
      </c>
      <c r="R71" s="122">
        <f t="shared" si="19"/>
        <v>0.48599999999999999</v>
      </c>
      <c r="S71" s="123" t="s">
        <v>184</v>
      </c>
      <c r="T71" s="108"/>
      <c r="U71" s="108"/>
      <c r="V71" s="108"/>
      <c r="W71" s="108"/>
      <c r="X71" s="108"/>
      <c r="Y71" s="108"/>
      <c r="Z71" s="108"/>
      <c r="AA71" s="108"/>
      <c r="AB71" s="108"/>
    </row>
    <row r="72" spans="1:28">
      <c r="A72" s="118">
        <v>2254</v>
      </c>
      <c r="B72" s="118" t="s">
        <v>167</v>
      </c>
      <c r="C72" s="118" t="s">
        <v>167</v>
      </c>
      <c r="D72" s="118" t="s">
        <v>133</v>
      </c>
      <c r="E72" s="118" t="s">
        <v>133</v>
      </c>
      <c r="F72" s="124" t="s">
        <v>130</v>
      </c>
      <c r="G72" s="118">
        <v>0.31900000000000001</v>
      </c>
      <c r="H72" s="118">
        <v>0.31900000000000001</v>
      </c>
      <c r="I72" s="122">
        <f t="shared" si="15"/>
        <v>0.35090000000000005</v>
      </c>
      <c r="J72" s="122">
        <f t="shared" si="15"/>
        <v>0.35090000000000005</v>
      </c>
      <c r="K72" s="122">
        <f t="shared" si="16"/>
        <v>0.39874999999999999</v>
      </c>
      <c r="L72" s="122">
        <f t="shared" si="16"/>
        <v>0.39874999999999999</v>
      </c>
      <c r="M72" s="122">
        <f t="shared" si="17"/>
        <v>0.41470000000000001</v>
      </c>
      <c r="N72" s="122">
        <f t="shared" si="17"/>
        <v>0.41470000000000001</v>
      </c>
      <c r="O72" s="122">
        <f t="shared" si="18"/>
        <v>0.4466</v>
      </c>
      <c r="P72" s="122">
        <f t="shared" si="18"/>
        <v>0.4466</v>
      </c>
      <c r="Q72" s="122">
        <f t="shared" si="19"/>
        <v>0.47850000000000004</v>
      </c>
      <c r="R72" s="122">
        <f t="shared" si="19"/>
        <v>0.47850000000000004</v>
      </c>
      <c r="S72" s="123" t="s">
        <v>184</v>
      </c>
      <c r="T72" s="108"/>
      <c r="U72" s="108"/>
      <c r="V72" s="108"/>
      <c r="W72" s="108"/>
      <c r="X72" s="108"/>
      <c r="Y72" s="108"/>
      <c r="Z72" s="108"/>
      <c r="AA72" s="108"/>
      <c r="AB72" s="108"/>
    </row>
    <row r="73" spans="1:28">
      <c r="A73" s="118">
        <v>2255</v>
      </c>
      <c r="B73" s="118" t="s">
        <v>180</v>
      </c>
      <c r="C73" s="118" t="s">
        <v>180</v>
      </c>
      <c r="D73" s="124" t="s">
        <v>185</v>
      </c>
      <c r="E73" s="124" t="s">
        <v>185</v>
      </c>
      <c r="F73" s="124" t="s">
        <v>130</v>
      </c>
      <c r="G73" s="118">
        <v>0.42299999999999999</v>
      </c>
      <c r="H73" s="118">
        <v>0.42299999999999999</v>
      </c>
      <c r="I73" s="122">
        <f t="shared" si="15"/>
        <v>0.46530000000000005</v>
      </c>
      <c r="J73" s="122">
        <f t="shared" si="15"/>
        <v>0.46530000000000005</v>
      </c>
      <c r="K73" s="122">
        <f t="shared" si="16"/>
        <v>0.52874999999999994</v>
      </c>
      <c r="L73" s="122">
        <f t="shared" si="16"/>
        <v>0.52874999999999994</v>
      </c>
      <c r="M73" s="122">
        <f t="shared" si="17"/>
        <v>0.54990000000000006</v>
      </c>
      <c r="N73" s="122">
        <f t="shared" si="17"/>
        <v>0.54990000000000006</v>
      </c>
      <c r="O73" s="122">
        <f t="shared" si="18"/>
        <v>0.59219999999999995</v>
      </c>
      <c r="P73" s="122">
        <f t="shared" si="18"/>
        <v>0.59219999999999995</v>
      </c>
      <c r="Q73" s="122">
        <f t="shared" si="19"/>
        <v>0.63449999999999995</v>
      </c>
      <c r="R73" s="122">
        <f t="shared" si="19"/>
        <v>0.63449999999999995</v>
      </c>
      <c r="S73" s="123" t="s">
        <v>184</v>
      </c>
      <c r="T73" s="108"/>
      <c r="U73" s="108"/>
      <c r="V73" s="108"/>
      <c r="W73" s="108"/>
      <c r="X73" s="108"/>
      <c r="Y73" s="108"/>
      <c r="Z73" s="108"/>
      <c r="AA73" s="108"/>
      <c r="AB73" s="108"/>
    </row>
    <row r="74" spans="1:28">
      <c r="A74" s="118">
        <v>2256</v>
      </c>
      <c r="B74" s="118" t="s">
        <v>154</v>
      </c>
      <c r="C74" s="118" t="s">
        <v>154</v>
      </c>
      <c r="D74" s="124" t="s">
        <v>132</v>
      </c>
      <c r="E74" s="124" t="s">
        <v>132</v>
      </c>
      <c r="F74" s="124" t="s">
        <v>130</v>
      </c>
      <c r="G74" s="118">
        <v>0.40799999999999997</v>
      </c>
      <c r="H74" s="118">
        <v>0.40799999999999997</v>
      </c>
      <c r="I74" s="122">
        <f t="shared" si="15"/>
        <v>0.44880000000000003</v>
      </c>
      <c r="J74" s="122">
        <f t="shared" si="15"/>
        <v>0.44880000000000003</v>
      </c>
      <c r="K74" s="122">
        <f t="shared" si="16"/>
        <v>0.51</v>
      </c>
      <c r="L74" s="122">
        <f t="shared" si="16"/>
        <v>0.51</v>
      </c>
      <c r="M74" s="122">
        <f t="shared" si="17"/>
        <v>0.53039999999999998</v>
      </c>
      <c r="N74" s="122">
        <f t="shared" si="17"/>
        <v>0.53039999999999998</v>
      </c>
      <c r="O74" s="122">
        <f t="shared" si="18"/>
        <v>0.57119999999999993</v>
      </c>
      <c r="P74" s="122">
        <f t="shared" si="18"/>
        <v>0.57119999999999993</v>
      </c>
      <c r="Q74" s="122">
        <f t="shared" si="19"/>
        <v>0.61199999999999999</v>
      </c>
      <c r="R74" s="122">
        <f t="shared" si="19"/>
        <v>0.61199999999999999</v>
      </c>
      <c r="S74" s="123" t="s">
        <v>184</v>
      </c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1:28">
      <c r="A75" s="118">
        <v>2257</v>
      </c>
      <c r="B75" s="118" t="s">
        <v>155</v>
      </c>
      <c r="C75" s="118" t="s">
        <v>155</v>
      </c>
      <c r="D75" s="124" t="s">
        <v>186</v>
      </c>
      <c r="E75" s="124" t="s">
        <v>186</v>
      </c>
      <c r="F75" s="124" t="s">
        <v>130</v>
      </c>
      <c r="G75" s="118">
        <v>0.42599999999999999</v>
      </c>
      <c r="H75" s="118">
        <v>0.42599999999999999</v>
      </c>
      <c r="I75" s="122">
        <f t="shared" si="15"/>
        <v>0.46860000000000002</v>
      </c>
      <c r="J75" s="122">
        <f t="shared" si="15"/>
        <v>0.46860000000000002</v>
      </c>
      <c r="K75" s="122">
        <f t="shared" si="16"/>
        <v>0.53249999999999997</v>
      </c>
      <c r="L75" s="122">
        <f t="shared" si="16"/>
        <v>0.53249999999999997</v>
      </c>
      <c r="M75" s="122">
        <f t="shared" si="17"/>
        <v>0.55379999999999996</v>
      </c>
      <c r="N75" s="122">
        <f t="shared" si="17"/>
        <v>0.55379999999999996</v>
      </c>
      <c r="O75" s="122">
        <f t="shared" si="18"/>
        <v>0.59639999999999993</v>
      </c>
      <c r="P75" s="122">
        <f t="shared" si="18"/>
        <v>0.59639999999999993</v>
      </c>
      <c r="Q75" s="122">
        <f t="shared" si="19"/>
        <v>0.63900000000000001</v>
      </c>
      <c r="R75" s="122">
        <f t="shared" si="19"/>
        <v>0.63900000000000001</v>
      </c>
      <c r="S75" s="123" t="s">
        <v>184</v>
      </c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1:28">
      <c r="A76" s="118">
        <v>1466</v>
      </c>
      <c r="B76" s="118" t="s">
        <v>117</v>
      </c>
      <c r="C76" s="118" t="s">
        <v>117</v>
      </c>
      <c r="D76" s="124" t="s">
        <v>187</v>
      </c>
      <c r="E76" s="124" t="s">
        <v>187</v>
      </c>
      <c r="F76" s="118" t="s">
        <v>130</v>
      </c>
      <c r="G76" s="122">
        <v>0.35</v>
      </c>
      <c r="H76" s="122">
        <v>0.35</v>
      </c>
      <c r="I76" s="122">
        <f t="shared" si="15"/>
        <v>0.38500000000000001</v>
      </c>
      <c r="J76" s="122">
        <f t="shared" si="15"/>
        <v>0.38500000000000001</v>
      </c>
      <c r="K76" s="122">
        <f t="shared" si="16"/>
        <v>0.4375</v>
      </c>
      <c r="L76" s="122">
        <f t="shared" si="16"/>
        <v>0.4375</v>
      </c>
      <c r="M76" s="122">
        <f t="shared" si="17"/>
        <v>0.45499999999999996</v>
      </c>
      <c r="N76" s="122">
        <f t="shared" si="17"/>
        <v>0.45499999999999996</v>
      </c>
      <c r="O76" s="122">
        <f t="shared" si="18"/>
        <v>0.48999999999999994</v>
      </c>
      <c r="P76" s="122">
        <f t="shared" si="18"/>
        <v>0.48999999999999994</v>
      </c>
      <c r="Q76" s="122">
        <f t="shared" si="19"/>
        <v>0.52499999999999991</v>
      </c>
      <c r="R76" s="122">
        <f t="shared" si="19"/>
        <v>0.52499999999999991</v>
      </c>
      <c r="S76" s="119" t="s">
        <v>188</v>
      </c>
      <c r="T76" s="108"/>
      <c r="U76" s="108"/>
      <c r="V76" s="108"/>
      <c r="W76" s="108"/>
      <c r="X76" s="108"/>
      <c r="Y76" s="108"/>
      <c r="Z76" s="108"/>
      <c r="AA76" s="108"/>
      <c r="AB76" s="108"/>
    </row>
    <row r="77" spans="1:28">
      <c r="A77" s="118">
        <v>1467</v>
      </c>
      <c r="B77" s="118" t="s">
        <v>189</v>
      </c>
      <c r="C77" s="118" t="s">
        <v>189</v>
      </c>
      <c r="D77" s="124" t="s">
        <v>190</v>
      </c>
      <c r="E77" s="124" t="s">
        <v>190</v>
      </c>
      <c r="F77" s="118" t="s">
        <v>130</v>
      </c>
      <c r="G77" s="122">
        <v>0.35199999999999998</v>
      </c>
      <c r="H77" s="122">
        <v>0.35199999999999998</v>
      </c>
      <c r="I77" s="122">
        <f t="shared" si="15"/>
        <v>0.38719999999999999</v>
      </c>
      <c r="J77" s="122">
        <f t="shared" si="15"/>
        <v>0.38719999999999999</v>
      </c>
      <c r="K77" s="122">
        <f t="shared" si="16"/>
        <v>0.43999999999999995</v>
      </c>
      <c r="L77" s="122">
        <f t="shared" si="16"/>
        <v>0.43999999999999995</v>
      </c>
      <c r="M77" s="122">
        <f t="shared" si="17"/>
        <v>0.45760000000000001</v>
      </c>
      <c r="N77" s="122">
        <f t="shared" si="17"/>
        <v>0.45760000000000001</v>
      </c>
      <c r="O77" s="122">
        <f t="shared" si="18"/>
        <v>0.49279999999999996</v>
      </c>
      <c r="P77" s="122">
        <f t="shared" si="18"/>
        <v>0.49279999999999996</v>
      </c>
      <c r="Q77" s="122">
        <f t="shared" si="19"/>
        <v>0.52800000000000002</v>
      </c>
      <c r="R77" s="122">
        <f t="shared" si="19"/>
        <v>0.52800000000000002</v>
      </c>
      <c r="S77" s="123" t="s">
        <v>191</v>
      </c>
      <c r="T77" s="108"/>
      <c r="U77" s="108"/>
      <c r="V77" s="108"/>
      <c r="W77" s="108"/>
      <c r="X77" s="108"/>
      <c r="Y77" s="108"/>
      <c r="Z77" s="108"/>
      <c r="AA77" s="108"/>
      <c r="AB77" s="108"/>
    </row>
    <row r="78" spans="1:28">
      <c r="A78" s="118">
        <v>1468</v>
      </c>
      <c r="B78" s="118" t="s">
        <v>122</v>
      </c>
      <c r="C78" s="118" t="s">
        <v>122</v>
      </c>
      <c r="D78" s="124" t="s">
        <v>129</v>
      </c>
      <c r="E78" s="124" t="s">
        <v>129</v>
      </c>
      <c r="F78" s="118" t="s">
        <v>130</v>
      </c>
      <c r="G78" s="122">
        <v>0.36</v>
      </c>
      <c r="H78" s="122">
        <v>0.36</v>
      </c>
      <c r="I78" s="122">
        <f t="shared" si="15"/>
        <v>0.39600000000000002</v>
      </c>
      <c r="J78" s="122">
        <f t="shared" si="15"/>
        <v>0.39600000000000002</v>
      </c>
      <c r="K78" s="122">
        <f t="shared" si="16"/>
        <v>0.44999999999999996</v>
      </c>
      <c r="L78" s="122">
        <f t="shared" si="16"/>
        <v>0.44999999999999996</v>
      </c>
      <c r="M78" s="122">
        <f t="shared" si="17"/>
        <v>0.46799999999999997</v>
      </c>
      <c r="N78" s="122">
        <f t="shared" si="17"/>
        <v>0.46799999999999997</v>
      </c>
      <c r="O78" s="122">
        <f t="shared" si="18"/>
        <v>0.504</v>
      </c>
      <c r="P78" s="122">
        <f t="shared" si="18"/>
        <v>0.504</v>
      </c>
      <c r="Q78" s="122">
        <f t="shared" si="19"/>
        <v>0.54</v>
      </c>
      <c r="R78" s="122">
        <f t="shared" si="19"/>
        <v>0.54</v>
      </c>
      <c r="S78" s="123" t="s">
        <v>192</v>
      </c>
      <c r="T78" s="108"/>
      <c r="U78" s="108"/>
      <c r="V78" s="108"/>
      <c r="W78" s="108"/>
      <c r="X78" s="108"/>
      <c r="Y78" s="108"/>
      <c r="Z78" s="108"/>
      <c r="AA78" s="108"/>
      <c r="AB78" s="108"/>
    </row>
    <row r="79" spans="1:28">
      <c r="A79" s="118">
        <v>1469</v>
      </c>
      <c r="B79" s="118" t="s">
        <v>145</v>
      </c>
      <c r="C79" s="118" t="s">
        <v>145</v>
      </c>
      <c r="D79" s="124" t="s">
        <v>163</v>
      </c>
      <c r="E79" s="124" t="s">
        <v>163</v>
      </c>
      <c r="F79" s="118" t="s">
        <v>130</v>
      </c>
      <c r="G79" s="122">
        <v>0.36499999999999999</v>
      </c>
      <c r="H79" s="122">
        <v>0.36499999999999999</v>
      </c>
      <c r="I79" s="122">
        <f t="shared" si="15"/>
        <v>0.40150000000000002</v>
      </c>
      <c r="J79" s="122">
        <f t="shared" si="15"/>
        <v>0.40150000000000002</v>
      </c>
      <c r="K79" s="122">
        <f t="shared" si="16"/>
        <v>0.45624999999999999</v>
      </c>
      <c r="L79" s="122">
        <f t="shared" si="16"/>
        <v>0.45624999999999999</v>
      </c>
      <c r="M79" s="122">
        <f t="shared" si="17"/>
        <v>0.47449999999999998</v>
      </c>
      <c r="N79" s="122">
        <f t="shared" si="17"/>
        <v>0.47449999999999998</v>
      </c>
      <c r="O79" s="122">
        <f t="shared" si="18"/>
        <v>0.51100000000000001</v>
      </c>
      <c r="P79" s="122">
        <f t="shared" si="18"/>
        <v>0.51100000000000001</v>
      </c>
      <c r="Q79" s="122">
        <f t="shared" si="19"/>
        <v>0.54749999999999999</v>
      </c>
      <c r="R79" s="122">
        <f t="shared" si="19"/>
        <v>0.54749999999999999</v>
      </c>
      <c r="S79" s="123" t="s">
        <v>193</v>
      </c>
      <c r="T79" s="108"/>
      <c r="U79" s="108"/>
      <c r="V79" s="108"/>
      <c r="W79" s="108"/>
      <c r="X79" s="108"/>
      <c r="Y79" s="108"/>
      <c r="Z79" s="108"/>
      <c r="AA79" s="108"/>
      <c r="AB79" s="108"/>
    </row>
    <row r="80" spans="1:28">
      <c r="A80" s="118">
        <v>1470</v>
      </c>
      <c r="B80" s="118" t="s">
        <v>179</v>
      </c>
      <c r="C80" s="118" t="s">
        <v>179</v>
      </c>
      <c r="D80" s="124" t="s">
        <v>161</v>
      </c>
      <c r="E80" s="124" t="s">
        <v>161</v>
      </c>
      <c r="F80" s="118" t="s">
        <v>130</v>
      </c>
      <c r="G80" s="122">
        <v>0.375</v>
      </c>
      <c r="H80" s="122">
        <v>0.375</v>
      </c>
      <c r="I80" s="122">
        <f t="shared" si="15"/>
        <v>0.41250000000000003</v>
      </c>
      <c r="J80" s="122">
        <f t="shared" si="15"/>
        <v>0.41250000000000003</v>
      </c>
      <c r="K80" s="122">
        <f t="shared" si="16"/>
        <v>0.46875</v>
      </c>
      <c r="L80" s="122">
        <f t="shared" si="16"/>
        <v>0.46875</v>
      </c>
      <c r="M80" s="122">
        <f t="shared" si="17"/>
        <v>0.48750000000000004</v>
      </c>
      <c r="N80" s="122">
        <f t="shared" si="17"/>
        <v>0.48750000000000004</v>
      </c>
      <c r="O80" s="122">
        <f t="shared" si="18"/>
        <v>0.52499999999999991</v>
      </c>
      <c r="P80" s="122">
        <f t="shared" si="18"/>
        <v>0.52499999999999991</v>
      </c>
      <c r="Q80" s="122">
        <f t="shared" si="19"/>
        <v>0.5625</v>
      </c>
      <c r="R80" s="122">
        <f t="shared" si="19"/>
        <v>0.5625</v>
      </c>
      <c r="S80" s="123" t="s">
        <v>194</v>
      </c>
      <c r="T80" s="108"/>
      <c r="U80" s="108"/>
      <c r="V80" s="108"/>
      <c r="W80" s="108"/>
      <c r="X80" s="108"/>
      <c r="Y80" s="108"/>
      <c r="Z80" s="108"/>
      <c r="AA80" s="108"/>
      <c r="AB80" s="108"/>
    </row>
    <row r="81" spans="1:28">
      <c r="A81" s="118">
        <v>2260</v>
      </c>
      <c r="B81" s="118" t="s">
        <v>132</v>
      </c>
      <c r="C81" s="118" t="s">
        <v>132</v>
      </c>
      <c r="D81" s="124" t="s">
        <v>181</v>
      </c>
      <c r="E81" s="124" t="s">
        <v>181</v>
      </c>
      <c r="F81" s="118" t="s">
        <v>130</v>
      </c>
      <c r="G81" s="122">
        <v>0.39300000000000002</v>
      </c>
      <c r="H81" s="122">
        <v>0.39300000000000002</v>
      </c>
      <c r="I81" s="122">
        <f t="shared" si="15"/>
        <v>0.43230000000000007</v>
      </c>
      <c r="J81" s="122">
        <f t="shared" si="15"/>
        <v>0.43230000000000007</v>
      </c>
      <c r="K81" s="122">
        <f t="shared" si="16"/>
        <v>0.49125000000000002</v>
      </c>
      <c r="L81" s="122">
        <f t="shared" si="16"/>
        <v>0.49125000000000002</v>
      </c>
      <c r="M81" s="122">
        <f t="shared" si="17"/>
        <v>0.51090000000000002</v>
      </c>
      <c r="N81" s="122">
        <f t="shared" si="17"/>
        <v>0.51090000000000002</v>
      </c>
      <c r="O81" s="122">
        <f t="shared" si="18"/>
        <v>0.55020000000000002</v>
      </c>
      <c r="P81" s="122">
        <f t="shared" si="18"/>
        <v>0.55020000000000002</v>
      </c>
      <c r="Q81" s="122">
        <f t="shared" si="19"/>
        <v>0.58950000000000002</v>
      </c>
      <c r="R81" s="122">
        <f t="shared" si="19"/>
        <v>0.58950000000000002</v>
      </c>
      <c r="S81" s="123" t="s">
        <v>405</v>
      </c>
      <c r="T81" s="108"/>
      <c r="U81" s="108"/>
      <c r="V81" s="108"/>
      <c r="W81" s="108"/>
      <c r="X81" s="108"/>
      <c r="Y81" s="108"/>
      <c r="Z81" s="108"/>
      <c r="AA81" s="108"/>
      <c r="AB81" s="108"/>
    </row>
    <row r="82" spans="1:28">
      <c r="A82" s="118">
        <v>2261</v>
      </c>
      <c r="B82" s="118" t="s">
        <v>140</v>
      </c>
      <c r="C82" s="118" t="s">
        <v>140</v>
      </c>
      <c r="D82" s="124" t="s">
        <v>158</v>
      </c>
      <c r="E82" s="124" t="s">
        <v>158</v>
      </c>
      <c r="F82" s="118" t="s">
        <v>130</v>
      </c>
      <c r="G82" s="122">
        <v>0.41</v>
      </c>
      <c r="H82" s="122">
        <v>0.41</v>
      </c>
      <c r="I82" s="122">
        <f t="shared" si="15"/>
        <v>0.45100000000000001</v>
      </c>
      <c r="J82" s="122">
        <f t="shared" si="15"/>
        <v>0.45100000000000001</v>
      </c>
      <c r="K82" s="122">
        <f t="shared" si="16"/>
        <v>0.51249999999999996</v>
      </c>
      <c r="L82" s="122">
        <f t="shared" si="16"/>
        <v>0.51249999999999996</v>
      </c>
      <c r="M82" s="122">
        <f t="shared" si="17"/>
        <v>0.53300000000000003</v>
      </c>
      <c r="N82" s="122">
        <f t="shared" si="17"/>
        <v>0.53300000000000003</v>
      </c>
      <c r="O82" s="122">
        <f t="shared" si="18"/>
        <v>0.57399999999999995</v>
      </c>
      <c r="P82" s="122">
        <f t="shared" si="18"/>
        <v>0.57399999999999995</v>
      </c>
      <c r="Q82" s="122">
        <f t="shared" si="19"/>
        <v>0.61499999999999999</v>
      </c>
      <c r="R82" s="122">
        <f t="shared" si="19"/>
        <v>0.61499999999999999</v>
      </c>
      <c r="S82" s="123" t="s">
        <v>195</v>
      </c>
      <c r="T82" s="108"/>
      <c r="U82" s="108"/>
      <c r="V82" s="108"/>
      <c r="W82" s="108"/>
      <c r="X82" s="108"/>
      <c r="Y82" s="108"/>
      <c r="Z82" s="108"/>
      <c r="AA82" s="108"/>
      <c r="AB82" s="108"/>
    </row>
    <row r="83" spans="1:28">
      <c r="A83" s="118">
        <v>2262</v>
      </c>
      <c r="B83" s="118" t="s">
        <v>170</v>
      </c>
      <c r="C83" s="118" t="s">
        <v>170</v>
      </c>
      <c r="D83" s="124" t="s">
        <v>122</v>
      </c>
      <c r="E83" s="124" t="s">
        <v>122</v>
      </c>
      <c r="F83" s="124" t="s">
        <v>130</v>
      </c>
      <c r="G83" s="118">
        <v>0.47699999999999998</v>
      </c>
      <c r="H83" s="118">
        <v>0.47699999999999998</v>
      </c>
      <c r="I83" s="122">
        <f t="shared" si="15"/>
        <v>0.52470000000000006</v>
      </c>
      <c r="J83" s="122">
        <f t="shared" si="15"/>
        <v>0.52470000000000006</v>
      </c>
      <c r="K83" s="122">
        <f t="shared" si="16"/>
        <v>0.59624999999999995</v>
      </c>
      <c r="L83" s="122">
        <f t="shared" si="16"/>
        <v>0.59624999999999995</v>
      </c>
      <c r="M83" s="122">
        <f t="shared" si="17"/>
        <v>0.62009999999999998</v>
      </c>
      <c r="N83" s="122">
        <f t="shared" si="17"/>
        <v>0.62009999999999998</v>
      </c>
      <c r="O83" s="122">
        <f t="shared" si="18"/>
        <v>0.66779999999999995</v>
      </c>
      <c r="P83" s="122">
        <f t="shared" si="18"/>
        <v>0.66779999999999995</v>
      </c>
      <c r="Q83" s="122">
        <f t="shared" si="19"/>
        <v>0.71550000000000002</v>
      </c>
      <c r="R83" s="122">
        <f t="shared" si="19"/>
        <v>0.71550000000000002</v>
      </c>
      <c r="S83" s="123" t="s">
        <v>184</v>
      </c>
      <c r="T83" s="108"/>
      <c r="U83" s="108"/>
      <c r="V83" s="108"/>
      <c r="W83" s="108"/>
      <c r="X83" s="108"/>
      <c r="Y83" s="108"/>
      <c r="Z83" s="108"/>
      <c r="AA83" s="108"/>
      <c r="AB83" s="108"/>
    </row>
    <row r="84" spans="1:28">
      <c r="A84" s="118">
        <v>2263</v>
      </c>
      <c r="B84" s="118" t="s">
        <v>179</v>
      </c>
      <c r="C84" s="118" t="s">
        <v>179</v>
      </c>
      <c r="D84" s="124" t="s">
        <v>161</v>
      </c>
      <c r="E84" s="124" t="s">
        <v>161</v>
      </c>
      <c r="F84" s="118" t="s">
        <v>130</v>
      </c>
      <c r="G84" s="122">
        <v>0.44</v>
      </c>
      <c r="H84" s="122">
        <v>0.44</v>
      </c>
      <c r="I84" s="122">
        <f t="shared" si="15"/>
        <v>0.48400000000000004</v>
      </c>
      <c r="J84" s="122">
        <f t="shared" si="15"/>
        <v>0.48400000000000004</v>
      </c>
      <c r="K84" s="122">
        <f t="shared" si="16"/>
        <v>0.55000000000000004</v>
      </c>
      <c r="L84" s="122">
        <f t="shared" si="16"/>
        <v>0.55000000000000004</v>
      </c>
      <c r="M84" s="122">
        <f t="shared" si="17"/>
        <v>0.57200000000000006</v>
      </c>
      <c r="N84" s="122">
        <f t="shared" si="17"/>
        <v>0.57200000000000006</v>
      </c>
      <c r="O84" s="122">
        <f t="shared" si="18"/>
        <v>0.61599999999999999</v>
      </c>
      <c r="P84" s="122">
        <f t="shared" si="18"/>
        <v>0.61599999999999999</v>
      </c>
      <c r="Q84" s="122">
        <f t="shared" si="19"/>
        <v>0.66</v>
      </c>
      <c r="R84" s="122">
        <f t="shared" si="19"/>
        <v>0.66</v>
      </c>
      <c r="S84" s="123" t="s">
        <v>196</v>
      </c>
      <c r="T84" s="108"/>
      <c r="U84" s="108"/>
      <c r="V84" s="108"/>
      <c r="W84" s="108"/>
      <c r="X84" s="108"/>
      <c r="Y84" s="108"/>
      <c r="Z84" s="108"/>
      <c r="AA84" s="108"/>
      <c r="AB84" s="108"/>
    </row>
    <row r="85" spans="1:28">
      <c r="A85" s="118">
        <v>2264</v>
      </c>
      <c r="B85" s="118" t="s">
        <v>197</v>
      </c>
      <c r="C85" s="118" t="s">
        <v>197</v>
      </c>
      <c r="D85" s="124" t="s">
        <v>198</v>
      </c>
      <c r="E85" s="124" t="s">
        <v>198</v>
      </c>
      <c r="F85" s="118" t="s">
        <v>130</v>
      </c>
      <c r="G85" s="122">
        <v>0.44</v>
      </c>
      <c r="H85" s="122">
        <v>0.44</v>
      </c>
      <c r="I85" s="122">
        <f t="shared" si="15"/>
        <v>0.48400000000000004</v>
      </c>
      <c r="J85" s="122">
        <f t="shared" si="15"/>
        <v>0.48400000000000004</v>
      </c>
      <c r="K85" s="122">
        <f t="shared" si="16"/>
        <v>0.55000000000000004</v>
      </c>
      <c r="L85" s="122">
        <f t="shared" si="16"/>
        <v>0.55000000000000004</v>
      </c>
      <c r="M85" s="122">
        <f t="shared" si="17"/>
        <v>0.57200000000000006</v>
      </c>
      <c r="N85" s="122">
        <f t="shared" si="17"/>
        <v>0.57200000000000006</v>
      </c>
      <c r="O85" s="122">
        <f t="shared" si="18"/>
        <v>0.61599999999999999</v>
      </c>
      <c r="P85" s="122">
        <f t="shared" si="18"/>
        <v>0.61599999999999999</v>
      </c>
      <c r="Q85" s="122">
        <f t="shared" si="19"/>
        <v>0.66</v>
      </c>
      <c r="R85" s="122">
        <f t="shared" si="19"/>
        <v>0.66</v>
      </c>
      <c r="S85" s="123" t="s">
        <v>199</v>
      </c>
      <c r="T85" s="108"/>
      <c r="U85" s="108"/>
      <c r="V85" s="108"/>
      <c r="W85" s="108"/>
      <c r="X85" s="108"/>
      <c r="Y85" s="108"/>
      <c r="Z85" s="108"/>
      <c r="AA85" s="108"/>
      <c r="AB85" s="108"/>
    </row>
    <row r="87" spans="1:28">
      <c r="I87" s="129"/>
      <c r="J87" s="130"/>
      <c r="K87" s="130"/>
      <c r="L87" s="131" t="s">
        <v>95</v>
      </c>
      <c r="M87" s="130"/>
      <c r="N87" s="130"/>
      <c r="O87" s="130"/>
      <c r="P87" s="130"/>
      <c r="Q87" s="130"/>
      <c r="R87" s="132"/>
      <c r="S87" s="123"/>
      <c r="T87" s="108"/>
      <c r="U87" s="108"/>
      <c r="V87" s="108"/>
      <c r="W87" s="108"/>
      <c r="X87" s="108"/>
      <c r="Y87" s="108"/>
      <c r="Z87" s="108"/>
      <c r="AA87" s="108"/>
      <c r="AB87" s="108"/>
    </row>
    <row r="88" spans="1:28">
      <c r="B88" s="137" t="s">
        <v>435</v>
      </c>
      <c r="C88" s="132"/>
      <c r="D88" s="131" t="s">
        <v>96</v>
      </c>
      <c r="E88" s="130"/>
      <c r="F88" s="144" t="s">
        <v>97</v>
      </c>
      <c r="G88" s="135" t="s">
        <v>98</v>
      </c>
      <c r="H88" s="132"/>
      <c r="I88" s="141">
        <f>$I$6</f>
        <v>1.1000000000000001</v>
      </c>
      <c r="J88" s="146"/>
      <c r="K88" s="125">
        <f>$K$6</f>
        <v>1.25</v>
      </c>
      <c r="L88" s="146"/>
      <c r="M88" s="125">
        <f>$M$6</f>
        <v>1.3</v>
      </c>
      <c r="N88" s="146"/>
      <c r="O88" s="125">
        <f>$O$6</f>
        <v>1.4</v>
      </c>
      <c r="P88" s="146"/>
      <c r="Q88" s="125">
        <f>$Q$6</f>
        <v>1.5</v>
      </c>
      <c r="R88" s="134"/>
      <c r="S88" s="123"/>
      <c r="T88" s="108"/>
      <c r="U88" s="108"/>
      <c r="V88" s="108"/>
      <c r="W88" s="108"/>
      <c r="X88" s="108"/>
      <c r="Y88" s="108"/>
      <c r="Z88" s="108"/>
      <c r="AA88" s="108"/>
      <c r="AB88" s="108"/>
    </row>
    <row r="89" spans="1:28">
      <c r="A89" s="118" t="s">
        <v>103</v>
      </c>
      <c r="B89" s="142" t="s">
        <v>99</v>
      </c>
      <c r="C89" s="143" t="s">
        <v>38</v>
      </c>
      <c r="D89" s="142" t="s">
        <v>99</v>
      </c>
      <c r="E89" s="143" t="s">
        <v>38</v>
      </c>
      <c r="F89" s="138" t="s">
        <v>436</v>
      </c>
      <c r="G89" s="142" t="s">
        <v>99</v>
      </c>
      <c r="H89" s="143" t="s">
        <v>38</v>
      </c>
      <c r="I89" s="139" t="s">
        <v>99</v>
      </c>
      <c r="J89" s="140" t="s">
        <v>38</v>
      </c>
      <c r="K89" s="139" t="s">
        <v>99</v>
      </c>
      <c r="L89" s="140" t="s">
        <v>38</v>
      </c>
      <c r="M89" s="139" t="s">
        <v>99</v>
      </c>
      <c r="N89" s="140" t="s">
        <v>38</v>
      </c>
      <c r="O89" s="139" t="s">
        <v>99</v>
      </c>
      <c r="P89" s="140" t="s">
        <v>38</v>
      </c>
      <c r="Q89" s="139" t="s">
        <v>99</v>
      </c>
      <c r="R89" s="140" t="s">
        <v>38</v>
      </c>
      <c r="S89" s="116" t="s">
        <v>100</v>
      </c>
      <c r="T89" s="108"/>
      <c r="U89" s="108"/>
      <c r="V89" s="108"/>
      <c r="W89" s="108"/>
      <c r="X89" s="108"/>
      <c r="Y89" s="108"/>
      <c r="Z89" s="108"/>
      <c r="AA89" s="108"/>
      <c r="AB89" s="108"/>
    </row>
    <row r="90" spans="1:28">
      <c r="A90" s="120" t="s">
        <v>200</v>
      </c>
      <c r="B90" s="118" t="s">
        <v>33</v>
      </c>
      <c r="C90" s="118" t="s">
        <v>33</v>
      </c>
      <c r="D90" s="118" t="s">
        <v>33</v>
      </c>
      <c r="E90" s="118" t="s">
        <v>33</v>
      </c>
      <c r="F90" s="118" t="s">
        <v>33</v>
      </c>
      <c r="G90" s="120" t="s">
        <v>11</v>
      </c>
      <c r="H90" s="120" t="s">
        <v>11</v>
      </c>
      <c r="I90" s="120" t="s">
        <v>11</v>
      </c>
      <c r="J90" s="120" t="s">
        <v>11</v>
      </c>
      <c r="K90" s="120" t="s">
        <v>11</v>
      </c>
      <c r="L90" s="120" t="s">
        <v>11</v>
      </c>
      <c r="M90" s="120" t="s">
        <v>11</v>
      </c>
      <c r="N90" s="120" t="s">
        <v>11</v>
      </c>
      <c r="O90" s="120" t="s">
        <v>11</v>
      </c>
      <c r="P90" s="120" t="s">
        <v>11</v>
      </c>
      <c r="Q90" s="120" t="s">
        <v>11</v>
      </c>
      <c r="R90" s="120" t="s">
        <v>11</v>
      </c>
      <c r="T90" s="108"/>
      <c r="U90" s="108"/>
      <c r="V90" s="108"/>
      <c r="W90" s="108"/>
      <c r="X90" s="108"/>
      <c r="Y90" s="108"/>
      <c r="Z90" s="108"/>
      <c r="AA90" s="108"/>
      <c r="AB90" s="108"/>
    </row>
    <row r="91" spans="1:28">
      <c r="A91" s="118" t="s">
        <v>201</v>
      </c>
      <c r="B91" s="118" t="s">
        <v>134</v>
      </c>
      <c r="C91" s="118" t="s">
        <v>134</v>
      </c>
      <c r="D91" s="118" t="s">
        <v>202</v>
      </c>
      <c r="E91" s="118" t="s">
        <v>202</v>
      </c>
      <c r="F91" s="118" t="s">
        <v>130</v>
      </c>
      <c r="G91" s="122">
        <v>0.42</v>
      </c>
      <c r="H91" s="122">
        <v>0.42</v>
      </c>
      <c r="I91" s="122">
        <f t="shared" ref="I91:J124" si="20">$I$6*G91</f>
        <v>0.46200000000000002</v>
      </c>
      <c r="J91" s="122">
        <f t="shared" si="20"/>
        <v>0.46200000000000002</v>
      </c>
      <c r="K91" s="122">
        <f t="shared" ref="K91:L124" si="21">$K$6*G91</f>
        <v>0.52500000000000002</v>
      </c>
      <c r="L91" s="122">
        <f t="shared" si="21"/>
        <v>0.52500000000000002</v>
      </c>
      <c r="M91" s="122">
        <f t="shared" ref="M91:N124" si="22">$M$6*G91</f>
        <v>0.54600000000000004</v>
      </c>
      <c r="N91" s="122">
        <f t="shared" si="22"/>
        <v>0.54600000000000004</v>
      </c>
      <c r="O91" s="122">
        <f t="shared" ref="O91:P124" si="23">$O$6*G91</f>
        <v>0.58799999999999997</v>
      </c>
      <c r="P91" s="122">
        <f t="shared" si="23"/>
        <v>0.58799999999999997</v>
      </c>
      <c r="Q91" s="122">
        <f t="shared" ref="Q91:R124" si="24">$Q$6*G91</f>
        <v>0.63</v>
      </c>
      <c r="R91" s="122">
        <f t="shared" si="24"/>
        <v>0.63</v>
      </c>
      <c r="S91" s="119" t="s">
        <v>385</v>
      </c>
      <c r="T91" s="108"/>
      <c r="U91" s="108"/>
      <c r="V91" s="108"/>
      <c r="W91" s="108"/>
      <c r="X91" s="108"/>
      <c r="Y91" s="108"/>
      <c r="Z91" s="108"/>
      <c r="AA91" s="108"/>
      <c r="AB91" s="108"/>
    </row>
    <row r="92" spans="1:28" s="361" customFormat="1">
      <c r="A92" s="197" t="s">
        <v>203</v>
      </c>
      <c r="B92" s="197" t="s">
        <v>175</v>
      </c>
      <c r="C92" s="197" t="s">
        <v>175</v>
      </c>
      <c r="D92" s="197" t="s">
        <v>144</v>
      </c>
      <c r="E92" s="197" t="s">
        <v>144</v>
      </c>
      <c r="F92" s="197" t="s">
        <v>130</v>
      </c>
      <c r="G92" s="122">
        <v>0.435</v>
      </c>
      <c r="H92" s="122">
        <v>0.435</v>
      </c>
      <c r="I92" s="122">
        <f t="shared" si="20"/>
        <v>0.47850000000000004</v>
      </c>
      <c r="J92" s="122">
        <f t="shared" si="20"/>
        <v>0.47850000000000004</v>
      </c>
      <c r="K92" s="122">
        <f t="shared" si="21"/>
        <v>0.54374999999999996</v>
      </c>
      <c r="L92" s="122">
        <f t="shared" si="21"/>
        <v>0.54374999999999996</v>
      </c>
      <c r="M92" s="122">
        <f t="shared" si="22"/>
        <v>0.5655</v>
      </c>
      <c r="N92" s="122">
        <f t="shared" si="22"/>
        <v>0.5655</v>
      </c>
      <c r="O92" s="122">
        <f t="shared" si="23"/>
        <v>0.60899999999999999</v>
      </c>
      <c r="P92" s="122">
        <f t="shared" si="23"/>
        <v>0.60899999999999999</v>
      </c>
      <c r="Q92" s="122">
        <f t="shared" si="24"/>
        <v>0.65249999999999997</v>
      </c>
      <c r="R92" s="122">
        <f t="shared" si="24"/>
        <v>0.65249999999999997</v>
      </c>
      <c r="S92" s="196" t="s">
        <v>382</v>
      </c>
    </row>
    <row r="93" spans="1:28">
      <c r="A93" s="118" t="s">
        <v>204</v>
      </c>
      <c r="B93" s="118" t="s">
        <v>146</v>
      </c>
      <c r="C93" s="118" t="s">
        <v>146</v>
      </c>
      <c r="D93" s="118" t="s">
        <v>147</v>
      </c>
      <c r="E93" s="118" t="s">
        <v>147</v>
      </c>
      <c r="F93" s="118" t="s">
        <v>130</v>
      </c>
      <c r="G93" s="122">
        <v>0.42899999999999999</v>
      </c>
      <c r="H93" s="122">
        <v>0.42899999999999999</v>
      </c>
      <c r="I93" s="122">
        <f t="shared" si="20"/>
        <v>0.47190000000000004</v>
      </c>
      <c r="J93" s="122">
        <f t="shared" si="20"/>
        <v>0.47190000000000004</v>
      </c>
      <c r="K93" s="122">
        <f t="shared" si="21"/>
        <v>0.53625</v>
      </c>
      <c r="L93" s="122">
        <f t="shared" si="21"/>
        <v>0.53625</v>
      </c>
      <c r="M93" s="122">
        <f t="shared" si="22"/>
        <v>0.55769999999999997</v>
      </c>
      <c r="N93" s="122">
        <f t="shared" si="22"/>
        <v>0.55769999999999997</v>
      </c>
      <c r="O93" s="122">
        <f t="shared" si="23"/>
        <v>0.60059999999999991</v>
      </c>
      <c r="P93" s="122">
        <f t="shared" si="23"/>
        <v>0.60059999999999991</v>
      </c>
      <c r="Q93" s="122">
        <f t="shared" si="24"/>
        <v>0.64349999999999996</v>
      </c>
      <c r="R93" s="122">
        <f t="shared" si="24"/>
        <v>0.64349999999999996</v>
      </c>
      <c r="S93" s="123" t="s">
        <v>399</v>
      </c>
      <c r="T93" s="108"/>
      <c r="U93" s="108"/>
      <c r="V93" s="108"/>
      <c r="W93" s="108"/>
      <c r="X93" s="108"/>
      <c r="Y93" s="108"/>
      <c r="Z93" s="108"/>
      <c r="AA93" s="108"/>
      <c r="AB93" s="108"/>
    </row>
    <row r="94" spans="1:28">
      <c r="A94" s="118" t="s">
        <v>205</v>
      </c>
      <c r="B94" s="118" t="s">
        <v>119</v>
      </c>
      <c r="C94" s="118" t="s">
        <v>119</v>
      </c>
      <c r="D94" s="118" t="s">
        <v>128</v>
      </c>
      <c r="E94" s="118" t="s">
        <v>128</v>
      </c>
      <c r="F94" s="118" t="s">
        <v>130</v>
      </c>
      <c r="G94" s="122">
        <v>0.46100000000000002</v>
      </c>
      <c r="H94" s="122">
        <v>0.46100000000000002</v>
      </c>
      <c r="I94" s="122">
        <f t="shared" si="20"/>
        <v>0.50710000000000011</v>
      </c>
      <c r="J94" s="122">
        <f t="shared" si="20"/>
        <v>0.50710000000000011</v>
      </c>
      <c r="K94" s="122">
        <f t="shared" si="21"/>
        <v>0.57625000000000004</v>
      </c>
      <c r="L94" s="122">
        <f t="shared" si="21"/>
        <v>0.57625000000000004</v>
      </c>
      <c r="M94" s="122">
        <f t="shared" si="22"/>
        <v>0.59930000000000005</v>
      </c>
      <c r="N94" s="122">
        <f t="shared" si="22"/>
        <v>0.59930000000000005</v>
      </c>
      <c r="O94" s="122">
        <f t="shared" si="23"/>
        <v>0.64539999999999997</v>
      </c>
      <c r="P94" s="122">
        <f t="shared" si="23"/>
        <v>0.64539999999999997</v>
      </c>
      <c r="Q94" s="122">
        <f t="shared" si="24"/>
        <v>0.6915</v>
      </c>
      <c r="R94" s="122">
        <f t="shared" si="24"/>
        <v>0.6915</v>
      </c>
      <c r="S94" s="119" t="s">
        <v>386</v>
      </c>
      <c r="T94" s="108"/>
      <c r="U94" s="108"/>
      <c r="V94" s="108"/>
      <c r="W94" s="108"/>
      <c r="X94" s="108"/>
      <c r="Y94" s="108"/>
      <c r="Z94" s="108"/>
      <c r="AA94" s="108"/>
      <c r="AB94" s="108"/>
    </row>
    <row r="95" spans="1:28">
      <c r="A95" s="118" t="s">
        <v>206</v>
      </c>
      <c r="B95" s="118" t="s">
        <v>207</v>
      </c>
      <c r="C95" s="118" t="s">
        <v>207</v>
      </c>
      <c r="D95" s="118" t="s">
        <v>140</v>
      </c>
      <c r="E95" s="118" t="s">
        <v>140</v>
      </c>
      <c r="F95" s="118" t="s">
        <v>130</v>
      </c>
      <c r="G95" s="122">
        <v>0.44800000000000001</v>
      </c>
      <c r="H95" s="122">
        <v>0.44800000000000001</v>
      </c>
      <c r="I95" s="122">
        <f t="shared" si="20"/>
        <v>0.49280000000000007</v>
      </c>
      <c r="J95" s="122">
        <f t="shared" si="20"/>
        <v>0.49280000000000007</v>
      </c>
      <c r="K95" s="122">
        <f t="shared" si="21"/>
        <v>0.56000000000000005</v>
      </c>
      <c r="L95" s="122">
        <f t="shared" si="21"/>
        <v>0.56000000000000005</v>
      </c>
      <c r="M95" s="122">
        <f t="shared" si="22"/>
        <v>0.58240000000000003</v>
      </c>
      <c r="N95" s="122">
        <f t="shared" si="22"/>
        <v>0.58240000000000003</v>
      </c>
      <c r="O95" s="122">
        <f t="shared" si="23"/>
        <v>0.62719999999999998</v>
      </c>
      <c r="P95" s="122">
        <f t="shared" si="23"/>
        <v>0.62719999999999998</v>
      </c>
      <c r="Q95" s="122">
        <f t="shared" si="24"/>
        <v>0.67200000000000004</v>
      </c>
      <c r="R95" s="122">
        <f t="shared" si="24"/>
        <v>0.67200000000000004</v>
      </c>
      <c r="S95" s="123" t="s">
        <v>208</v>
      </c>
      <c r="T95" s="108"/>
      <c r="U95" s="108"/>
      <c r="V95" s="108"/>
      <c r="W95" s="108"/>
      <c r="X95" s="108"/>
      <c r="Y95" s="108"/>
      <c r="Z95" s="108"/>
      <c r="AA95" s="108"/>
      <c r="AB95" s="108"/>
    </row>
    <row r="96" spans="1:28" s="361" customFormat="1">
      <c r="A96" s="197" t="s">
        <v>209</v>
      </c>
      <c r="B96" s="197" t="s">
        <v>111</v>
      </c>
      <c r="C96" s="197" t="s">
        <v>111</v>
      </c>
      <c r="D96" s="197" t="s">
        <v>133</v>
      </c>
      <c r="E96" s="197" t="s">
        <v>133</v>
      </c>
      <c r="F96" s="197" t="s">
        <v>130</v>
      </c>
      <c r="G96" s="122">
        <v>0.38300000000000001</v>
      </c>
      <c r="H96" s="122">
        <v>0.38300000000000001</v>
      </c>
      <c r="I96" s="122">
        <f t="shared" si="20"/>
        <v>0.42130000000000006</v>
      </c>
      <c r="J96" s="122">
        <f t="shared" si="20"/>
        <v>0.42130000000000006</v>
      </c>
      <c r="K96" s="122">
        <f t="shared" si="21"/>
        <v>0.47875000000000001</v>
      </c>
      <c r="L96" s="122">
        <f t="shared" si="21"/>
        <v>0.47875000000000001</v>
      </c>
      <c r="M96" s="122">
        <f t="shared" si="22"/>
        <v>0.49790000000000001</v>
      </c>
      <c r="N96" s="122">
        <f t="shared" si="22"/>
        <v>0.49790000000000001</v>
      </c>
      <c r="O96" s="122">
        <f t="shared" si="23"/>
        <v>0.53620000000000001</v>
      </c>
      <c r="P96" s="122">
        <f t="shared" si="23"/>
        <v>0.53620000000000001</v>
      </c>
      <c r="Q96" s="122">
        <f t="shared" si="24"/>
        <v>0.57450000000000001</v>
      </c>
      <c r="R96" s="122">
        <f t="shared" si="24"/>
        <v>0.57450000000000001</v>
      </c>
      <c r="S96" s="196" t="s">
        <v>415</v>
      </c>
    </row>
    <row r="97" spans="1:28" s="359" customFormat="1">
      <c r="A97" s="356" t="s">
        <v>210</v>
      </c>
      <c r="B97" s="356" t="s">
        <v>112</v>
      </c>
      <c r="C97" s="356" t="s">
        <v>112</v>
      </c>
      <c r="D97" s="356" t="s">
        <v>211</v>
      </c>
      <c r="E97" s="356" t="s">
        <v>211</v>
      </c>
      <c r="F97" s="356" t="s">
        <v>130</v>
      </c>
      <c r="G97" s="357">
        <v>0.39200000000000002</v>
      </c>
      <c r="H97" s="357">
        <v>0.39200000000000002</v>
      </c>
      <c r="I97" s="357">
        <f t="shared" si="20"/>
        <v>0.43120000000000003</v>
      </c>
      <c r="J97" s="357">
        <f t="shared" si="20"/>
        <v>0.43120000000000003</v>
      </c>
      <c r="K97" s="357">
        <f t="shared" si="21"/>
        <v>0.49</v>
      </c>
      <c r="L97" s="357">
        <f t="shared" si="21"/>
        <v>0.49</v>
      </c>
      <c r="M97" s="357">
        <f t="shared" si="22"/>
        <v>0.50960000000000005</v>
      </c>
      <c r="N97" s="357">
        <f t="shared" si="22"/>
        <v>0.50960000000000005</v>
      </c>
      <c r="O97" s="357">
        <f t="shared" si="23"/>
        <v>0.54879999999999995</v>
      </c>
      <c r="P97" s="357">
        <f t="shared" si="23"/>
        <v>0.54879999999999995</v>
      </c>
      <c r="Q97" s="357">
        <f t="shared" si="24"/>
        <v>0.58800000000000008</v>
      </c>
      <c r="R97" s="357">
        <f t="shared" si="24"/>
        <v>0.58800000000000008</v>
      </c>
      <c r="S97" s="358" t="s">
        <v>441</v>
      </c>
    </row>
    <row r="98" spans="1:28" s="361" customFormat="1" ht="20">
      <c r="A98" s="197" t="s">
        <v>212</v>
      </c>
      <c r="B98" s="197" t="s">
        <v>213</v>
      </c>
      <c r="C98" s="197" t="s">
        <v>213</v>
      </c>
      <c r="D98" s="197" t="s">
        <v>214</v>
      </c>
      <c r="E98" s="197" t="s">
        <v>214</v>
      </c>
      <c r="F98" s="197" t="s">
        <v>130</v>
      </c>
      <c r="G98" s="122">
        <v>0.39700000000000002</v>
      </c>
      <c r="H98" s="122">
        <v>0.39700000000000002</v>
      </c>
      <c r="I98" s="122">
        <f t="shared" si="20"/>
        <v>0.43670000000000003</v>
      </c>
      <c r="J98" s="122">
        <f t="shared" si="20"/>
        <v>0.43670000000000003</v>
      </c>
      <c r="K98" s="122">
        <f t="shared" si="21"/>
        <v>0.49625000000000002</v>
      </c>
      <c r="L98" s="122">
        <f t="shared" si="21"/>
        <v>0.49625000000000002</v>
      </c>
      <c r="M98" s="122">
        <f t="shared" si="22"/>
        <v>0.5161</v>
      </c>
      <c r="N98" s="122">
        <f t="shared" si="22"/>
        <v>0.5161</v>
      </c>
      <c r="O98" s="122">
        <f t="shared" si="23"/>
        <v>0.55579999999999996</v>
      </c>
      <c r="P98" s="122">
        <f t="shared" si="23"/>
        <v>0.55579999999999996</v>
      </c>
      <c r="Q98" s="122">
        <f t="shared" si="24"/>
        <v>0.59550000000000003</v>
      </c>
      <c r="R98" s="122">
        <f t="shared" si="24"/>
        <v>0.59550000000000003</v>
      </c>
      <c r="S98" s="196" t="s">
        <v>419</v>
      </c>
    </row>
    <row r="99" spans="1:28">
      <c r="A99" s="118" t="s">
        <v>215</v>
      </c>
      <c r="B99" s="118" t="s">
        <v>166</v>
      </c>
      <c r="C99" s="118" t="s">
        <v>166</v>
      </c>
      <c r="D99" s="118" t="s">
        <v>128</v>
      </c>
      <c r="E99" s="118" t="s">
        <v>128</v>
      </c>
      <c r="F99" s="118" t="s">
        <v>130</v>
      </c>
      <c r="G99" s="122">
        <v>0.41799999999999998</v>
      </c>
      <c r="H99" s="122">
        <v>0.41799999999999998</v>
      </c>
      <c r="I99" s="122">
        <f t="shared" si="20"/>
        <v>0.45980000000000004</v>
      </c>
      <c r="J99" s="122">
        <f t="shared" si="20"/>
        <v>0.45980000000000004</v>
      </c>
      <c r="K99" s="122">
        <f t="shared" si="21"/>
        <v>0.52249999999999996</v>
      </c>
      <c r="L99" s="122">
        <f t="shared" si="21"/>
        <v>0.52249999999999996</v>
      </c>
      <c r="M99" s="122">
        <f t="shared" si="22"/>
        <v>0.54339999999999999</v>
      </c>
      <c r="N99" s="122">
        <f t="shared" si="22"/>
        <v>0.54339999999999999</v>
      </c>
      <c r="O99" s="122">
        <f t="shared" si="23"/>
        <v>0.58519999999999994</v>
      </c>
      <c r="P99" s="122">
        <f t="shared" si="23"/>
        <v>0.58519999999999994</v>
      </c>
      <c r="Q99" s="122">
        <f t="shared" si="24"/>
        <v>0.627</v>
      </c>
      <c r="R99" s="122">
        <f t="shared" si="24"/>
        <v>0.627</v>
      </c>
      <c r="S99" s="123" t="s">
        <v>208</v>
      </c>
      <c r="T99" s="108"/>
      <c r="U99" s="108"/>
      <c r="V99" s="108"/>
      <c r="W99" s="108"/>
      <c r="X99" s="108"/>
      <c r="Y99" s="108"/>
      <c r="Z99" s="108"/>
      <c r="AA99" s="108"/>
      <c r="AB99" s="108"/>
    </row>
    <row r="100" spans="1:28">
      <c r="A100" s="118" t="s">
        <v>216</v>
      </c>
      <c r="B100" s="118" t="s">
        <v>167</v>
      </c>
      <c r="C100" s="118" t="s">
        <v>167</v>
      </c>
      <c r="D100" s="118" t="s">
        <v>217</v>
      </c>
      <c r="E100" s="118" t="s">
        <v>217</v>
      </c>
      <c r="F100" s="118" t="s">
        <v>130</v>
      </c>
      <c r="G100" s="122">
        <v>0.41899999999999998</v>
      </c>
      <c r="H100" s="122">
        <v>0.41899999999999998</v>
      </c>
      <c r="I100" s="122">
        <f t="shared" si="20"/>
        <v>0.46090000000000003</v>
      </c>
      <c r="J100" s="122">
        <f t="shared" si="20"/>
        <v>0.46090000000000003</v>
      </c>
      <c r="K100" s="122">
        <f t="shared" si="21"/>
        <v>0.52374999999999994</v>
      </c>
      <c r="L100" s="122">
        <f t="shared" si="21"/>
        <v>0.52374999999999994</v>
      </c>
      <c r="M100" s="122">
        <f t="shared" si="22"/>
        <v>0.54469999999999996</v>
      </c>
      <c r="N100" s="122">
        <f t="shared" si="22"/>
        <v>0.54469999999999996</v>
      </c>
      <c r="O100" s="122">
        <f t="shared" si="23"/>
        <v>0.5865999999999999</v>
      </c>
      <c r="P100" s="122">
        <f t="shared" si="23"/>
        <v>0.5865999999999999</v>
      </c>
      <c r="Q100" s="122">
        <f t="shared" si="24"/>
        <v>0.62849999999999995</v>
      </c>
      <c r="R100" s="122">
        <f t="shared" si="24"/>
        <v>0.62849999999999995</v>
      </c>
      <c r="S100" s="123" t="s">
        <v>208</v>
      </c>
      <c r="T100" s="108"/>
      <c r="U100" s="108"/>
      <c r="V100" s="108"/>
      <c r="W100" s="108"/>
      <c r="X100" s="108"/>
      <c r="Y100" s="108"/>
      <c r="Z100" s="108"/>
      <c r="AA100" s="108"/>
      <c r="AB100" s="108"/>
    </row>
    <row r="101" spans="1:28">
      <c r="A101" s="118" t="s">
        <v>218</v>
      </c>
      <c r="B101" s="118" t="s">
        <v>219</v>
      </c>
      <c r="C101" s="118" t="s">
        <v>219</v>
      </c>
      <c r="D101" s="118" t="s">
        <v>134</v>
      </c>
      <c r="E101" s="118" t="s">
        <v>134</v>
      </c>
      <c r="F101" s="118" t="s">
        <v>130</v>
      </c>
      <c r="G101" s="122">
        <v>0.42399999999999999</v>
      </c>
      <c r="H101" s="122">
        <v>0.42399999999999999</v>
      </c>
      <c r="I101" s="122">
        <f t="shared" si="20"/>
        <v>0.46640000000000004</v>
      </c>
      <c r="J101" s="122">
        <f t="shared" si="20"/>
        <v>0.46640000000000004</v>
      </c>
      <c r="K101" s="122">
        <f t="shared" si="21"/>
        <v>0.53</v>
      </c>
      <c r="L101" s="122">
        <f t="shared" si="21"/>
        <v>0.53</v>
      </c>
      <c r="M101" s="122">
        <f t="shared" si="22"/>
        <v>0.55120000000000002</v>
      </c>
      <c r="N101" s="122">
        <f t="shared" si="22"/>
        <v>0.55120000000000002</v>
      </c>
      <c r="O101" s="122">
        <f t="shared" si="23"/>
        <v>0.59359999999999991</v>
      </c>
      <c r="P101" s="122">
        <f t="shared" si="23"/>
        <v>0.59359999999999991</v>
      </c>
      <c r="Q101" s="122">
        <f t="shared" si="24"/>
        <v>0.63600000000000001</v>
      </c>
      <c r="R101" s="122">
        <f t="shared" si="24"/>
        <v>0.63600000000000001</v>
      </c>
      <c r="S101" s="123" t="s">
        <v>220</v>
      </c>
      <c r="T101" s="108"/>
      <c r="U101" s="108"/>
      <c r="V101" s="108"/>
      <c r="W101" s="108"/>
      <c r="X101" s="108"/>
      <c r="Y101" s="108"/>
      <c r="Z101" s="108"/>
      <c r="AA101" s="108"/>
      <c r="AB101" s="108"/>
    </row>
    <row r="102" spans="1:28">
      <c r="A102" s="118" t="s">
        <v>221</v>
      </c>
      <c r="B102" s="118" t="s">
        <v>112</v>
      </c>
      <c r="C102" s="118" t="s">
        <v>111</v>
      </c>
      <c r="D102" s="118" t="s">
        <v>211</v>
      </c>
      <c r="E102" s="118" t="s">
        <v>133</v>
      </c>
      <c r="F102" s="118" t="s">
        <v>222</v>
      </c>
      <c r="G102" s="122">
        <v>0.39200000000000002</v>
      </c>
      <c r="H102" s="122">
        <v>0.38300000000000001</v>
      </c>
      <c r="I102" s="122">
        <f t="shared" si="20"/>
        <v>0.43120000000000003</v>
      </c>
      <c r="J102" s="122">
        <f t="shared" si="20"/>
        <v>0.42130000000000006</v>
      </c>
      <c r="K102" s="122">
        <f t="shared" si="21"/>
        <v>0.49</v>
      </c>
      <c r="L102" s="122">
        <f t="shared" si="21"/>
        <v>0.47875000000000001</v>
      </c>
      <c r="M102" s="122">
        <f t="shared" si="22"/>
        <v>0.50960000000000005</v>
      </c>
      <c r="N102" s="122">
        <f t="shared" si="22"/>
        <v>0.49790000000000001</v>
      </c>
      <c r="O102" s="122">
        <f t="shared" si="23"/>
        <v>0.54879999999999995</v>
      </c>
      <c r="P102" s="122">
        <f t="shared" si="23"/>
        <v>0.53620000000000001</v>
      </c>
      <c r="Q102" s="122">
        <f t="shared" si="24"/>
        <v>0.58800000000000008</v>
      </c>
      <c r="R102" s="122">
        <f t="shared" si="24"/>
        <v>0.57450000000000001</v>
      </c>
      <c r="S102" s="123" t="s">
        <v>423</v>
      </c>
      <c r="T102" s="108"/>
      <c r="U102" s="108"/>
      <c r="V102" s="108"/>
      <c r="W102" s="108"/>
      <c r="X102" s="108"/>
      <c r="Y102" s="108"/>
      <c r="Z102" s="108"/>
      <c r="AA102" s="108"/>
      <c r="AB102" s="108"/>
    </row>
    <row r="103" spans="1:28">
      <c r="A103" s="118" t="s">
        <v>223</v>
      </c>
      <c r="B103" s="118" t="s">
        <v>213</v>
      </c>
      <c r="C103" s="118" t="s">
        <v>112</v>
      </c>
      <c r="D103" s="118" t="s">
        <v>214</v>
      </c>
      <c r="E103" s="118" t="s">
        <v>211</v>
      </c>
      <c r="F103" s="118" t="s">
        <v>222</v>
      </c>
      <c r="G103" s="122">
        <v>0.39700000000000002</v>
      </c>
      <c r="H103" s="122">
        <v>0.39200000000000002</v>
      </c>
      <c r="I103" s="122">
        <f t="shared" si="20"/>
        <v>0.43670000000000003</v>
      </c>
      <c r="J103" s="122">
        <f t="shared" si="20"/>
        <v>0.43120000000000003</v>
      </c>
      <c r="K103" s="122">
        <f t="shared" si="21"/>
        <v>0.49625000000000002</v>
      </c>
      <c r="L103" s="122">
        <f t="shared" si="21"/>
        <v>0.49</v>
      </c>
      <c r="M103" s="122">
        <f t="shared" si="22"/>
        <v>0.5161</v>
      </c>
      <c r="N103" s="122">
        <f t="shared" si="22"/>
        <v>0.50960000000000005</v>
      </c>
      <c r="O103" s="122">
        <f t="shared" si="23"/>
        <v>0.55579999999999996</v>
      </c>
      <c r="P103" s="122">
        <f t="shared" si="23"/>
        <v>0.54879999999999995</v>
      </c>
      <c r="Q103" s="122">
        <f t="shared" si="24"/>
        <v>0.59550000000000003</v>
      </c>
      <c r="R103" s="122">
        <f t="shared" si="24"/>
        <v>0.58800000000000008</v>
      </c>
      <c r="S103" s="123" t="s">
        <v>422</v>
      </c>
      <c r="T103" s="108"/>
      <c r="U103" s="108"/>
      <c r="V103" s="108"/>
      <c r="W103" s="108"/>
      <c r="X103" s="108"/>
      <c r="Y103" s="108"/>
      <c r="Z103" s="108"/>
      <c r="AA103" s="108"/>
      <c r="AB103" s="108"/>
    </row>
    <row r="104" spans="1:28">
      <c r="A104" s="118" t="s">
        <v>224</v>
      </c>
      <c r="B104" s="118" t="s">
        <v>167</v>
      </c>
      <c r="C104" s="118" t="s">
        <v>166</v>
      </c>
      <c r="D104" s="118" t="s">
        <v>217</v>
      </c>
      <c r="E104" s="118" t="s">
        <v>128</v>
      </c>
      <c r="F104" s="118" t="s">
        <v>222</v>
      </c>
      <c r="G104" s="122">
        <v>0.41899999999999998</v>
      </c>
      <c r="H104" s="122">
        <v>0.41799999999999998</v>
      </c>
      <c r="I104" s="122">
        <f t="shared" si="20"/>
        <v>0.46090000000000003</v>
      </c>
      <c r="J104" s="122">
        <f t="shared" si="20"/>
        <v>0.45980000000000004</v>
      </c>
      <c r="K104" s="122">
        <f t="shared" si="21"/>
        <v>0.52374999999999994</v>
      </c>
      <c r="L104" s="122">
        <f t="shared" si="21"/>
        <v>0.52249999999999996</v>
      </c>
      <c r="M104" s="122">
        <f t="shared" si="22"/>
        <v>0.54469999999999996</v>
      </c>
      <c r="N104" s="122">
        <f t="shared" si="22"/>
        <v>0.54339999999999999</v>
      </c>
      <c r="O104" s="122">
        <f t="shared" si="23"/>
        <v>0.5865999999999999</v>
      </c>
      <c r="P104" s="122">
        <f t="shared" si="23"/>
        <v>0.58519999999999994</v>
      </c>
      <c r="Q104" s="122">
        <f t="shared" si="24"/>
        <v>0.62849999999999995</v>
      </c>
      <c r="R104" s="122">
        <f t="shared" si="24"/>
        <v>0.627</v>
      </c>
      <c r="S104" s="123" t="s">
        <v>421</v>
      </c>
      <c r="T104" s="108"/>
      <c r="U104" s="108"/>
      <c r="V104" s="108"/>
      <c r="W104" s="108"/>
      <c r="X104" s="108"/>
      <c r="Y104" s="108"/>
      <c r="Z104" s="108"/>
      <c r="AA104" s="108"/>
      <c r="AB104" s="108"/>
    </row>
    <row r="105" spans="1:28" ht="20">
      <c r="A105" s="118" t="s">
        <v>225</v>
      </c>
      <c r="B105" s="118" t="s">
        <v>179</v>
      </c>
      <c r="C105" s="118" t="s">
        <v>179</v>
      </c>
      <c r="D105" s="118" t="s">
        <v>101</v>
      </c>
      <c r="E105" s="118" t="s">
        <v>101</v>
      </c>
      <c r="F105" s="118" t="s">
        <v>130</v>
      </c>
      <c r="G105" s="122">
        <v>0.35699999999999998</v>
      </c>
      <c r="H105" s="122">
        <v>0.35699999999999998</v>
      </c>
      <c r="I105" s="122">
        <f t="shared" si="20"/>
        <v>0.39269999999999999</v>
      </c>
      <c r="J105" s="122">
        <f t="shared" si="20"/>
        <v>0.39269999999999999</v>
      </c>
      <c r="K105" s="122">
        <f t="shared" si="21"/>
        <v>0.44624999999999998</v>
      </c>
      <c r="L105" s="122">
        <f t="shared" si="21"/>
        <v>0.44624999999999998</v>
      </c>
      <c r="M105" s="122">
        <f t="shared" si="22"/>
        <v>0.46410000000000001</v>
      </c>
      <c r="N105" s="122">
        <f t="shared" si="22"/>
        <v>0.46410000000000001</v>
      </c>
      <c r="O105" s="122">
        <f t="shared" si="23"/>
        <v>0.49979999999999997</v>
      </c>
      <c r="P105" s="122">
        <f t="shared" si="23"/>
        <v>0.49979999999999997</v>
      </c>
      <c r="Q105" s="122">
        <f t="shared" si="24"/>
        <v>0.53549999999999998</v>
      </c>
      <c r="R105" s="122">
        <f t="shared" si="24"/>
        <v>0.53549999999999998</v>
      </c>
      <c r="S105" s="119" t="s">
        <v>402</v>
      </c>
      <c r="T105" s="108"/>
      <c r="U105" s="108"/>
      <c r="V105" s="108"/>
      <c r="W105" s="108"/>
      <c r="X105" s="108"/>
      <c r="Y105" s="108"/>
      <c r="Z105" s="108"/>
      <c r="AA105" s="108"/>
      <c r="AB105" s="108"/>
    </row>
    <row r="106" spans="1:28">
      <c r="A106" s="118" t="s">
        <v>226</v>
      </c>
      <c r="B106" s="118" t="s">
        <v>119</v>
      </c>
      <c r="C106" s="118" t="s">
        <v>119</v>
      </c>
      <c r="D106" s="118" t="s">
        <v>132</v>
      </c>
      <c r="E106" s="118" t="s">
        <v>132</v>
      </c>
      <c r="F106" s="118" t="s">
        <v>130</v>
      </c>
      <c r="G106" s="122">
        <v>0.38200000000000001</v>
      </c>
      <c r="H106" s="122">
        <v>0.38200000000000001</v>
      </c>
      <c r="I106" s="122">
        <f t="shared" si="20"/>
        <v>0.42020000000000002</v>
      </c>
      <c r="J106" s="122">
        <f t="shared" si="20"/>
        <v>0.42020000000000002</v>
      </c>
      <c r="K106" s="122">
        <f t="shared" si="21"/>
        <v>0.47750000000000004</v>
      </c>
      <c r="L106" s="122">
        <f t="shared" si="21"/>
        <v>0.47750000000000004</v>
      </c>
      <c r="M106" s="122">
        <f t="shared" si="22"/>
        <v>0.49660000000000004</v>
      </c>
      <c r="N106" s="122">
        <f t="shared" si="22"/>
        <v>0.49660000000000004</v>
      </c>
      <c r="O106" s="122">
        <f t="shared" si="23"/>
        <v>0.53479999999999994</v>
      </c>
      <c r="P106" s="122">
        <f t="shared" si="23"/>
        <v>0.53479999999999994</v>
      </c>
      <c r="Q106" s="122">
        <f t="shared" si="24"/>
        <v>0.57299999999999995</v>
      </c>
      <c r="R106" s="122">
        <f t="shared" si="24"/>
        <v>0.57299999999999995</v>
      </c>
      <c r="S106" s="119" t="s">
        <v>227</v>
      </c>
      <c r="T106" s="108"/>
      <c r="U106" s="108"/>
      <c r="V106" s="108"/>
      <c r="W106" s="108"/>
      <c r="X106" s="108"/>
      <c r="Y106" s="108"/>
      <c r="Z106" s="108"/>
      <c r="AA106" s="108"/>
      <c r="AB106" s="108"/>
    </row>
    <row r="107" spans="1:28">
      <c r="A107" s="118" t="s">
        <v>228</v>
      </c>
      <c r="B107" s="118" t="s">
        <v>176</v>
      </c>
      <c r="C107" s="118" t="s">
        <v>176</v>
      </c>
      <c r="D107" s="118" t="s">
        <v>132</v>
      </c>
      <c r="E107" s="118" t="s">
        <v>132</v>
      </c>
      <c r="F107" s="118" t="s">
        <v>130</v>
      </c>
      <c r="G107" s="122">
        <v>0.38500000000000001</v>
      </c>
      <c r="H107" s="122">
        <v>0.38500000000000001</v>
      </c>
      <c r="I107" s="122">
        <f t="shared" si="20"/>
        <v>0.42350000000000004</v>
      </c>
      <c r="J107" s="122">
        <f t="shared" si="20"/>
        <v>0.42350000000000004</v>
      </c>
      <c r="K107" s="122">
        <f t="shared" si="21"/>
        <v>0.48125000000000001</v>
      </c>
      <c r="L107" s="122">
        <f t="shared" si="21"/>
        <v>0.48125000000000001</v>
      </c>
      <c r="M107" s="122">
        <f t="shared" si="22"/>
        <v>0.50050000000000006</v>
      </c>
      <c r="N107" s="122">
        <f t="shared" si="22"/>
        <v>0.50050000000000006</v>
      </c>
      <c r="O107" s="122">
        <f t="shared" si="23"/>
        <v>0.53899999999999992</v>
      </c>
      <c r="P107" s="122">
        <f t="shared" si="23"/>
        <v>0.53899999999999992</v>
      </c>
      <c r="Q107" s="122">
        <f t="shared" si="24"/>
        <v>0.57750000000000001</v>
      </c>
      <c r="R107" s="122">
        <f t="shared" si="24"/>
        <v>0.57750000000000001</v>
      </c>
      <c r="S107" s="123" t="s">
        <v>208</v>
      </c>
      <c r="T107" s="108"/>
      <c r="U107" s="108"/>
      <c r="V107" s="108"/>
      <c r="W107" s="108"/>
      <c r="X107" s="108"/>
      <c r="Y107" s="108"/>
      <c r="Z107" s="108"/>
      <c r="AA107" s="108"/>
      <c r="AB107" s="108"/>
    </row>
    <row r="108" spans="1:28" ht="20">
      <c r="A108" s="118" t="s">
        <v>229</v>
      </c>
      <c r="B108" s="118" t="s">
        <v>186</v>
      </c>
      <c r="C108" s="118" t="s">
        <v>186</v>
      </c>
      <c r="D108" s="118" t="s">
        <v>230</v>
      </c>
      <c r="E108" s="118" t="s">
        <v>230</v>
      </c>
      <c r="F108" s="118" t="s">
        <v>130</v>
      </c>
      <c r="G108" s="122">
        <v>0.36399999999999999</v>
      </c>
      <c r="H108" s="122">
        <v>0.36399999999999999</v>
      </c>
      <c r="I108" s="122">
        <f t="shared" si="20"/>
        <v>0.40040000000000003</v>
      </c>
      <c r="J108" s="122">
        <f t="shared" si="20"/>
        <v>0.40040000000000003</v>
      </c>
      <c r="K108" s="122">
        <f t="shared" si="21"/>
        <v>0.45499999999999996</v>
      </c>
      <c r="L108" s="122">
        <f t="shared" si="21"/>
        <v>0.45499999999999996</v>
      </c>
      <c r="M108" s="122">
        <f t="shared" si="22"/>
        <v>0.47320000000000001</v>
      </c>
      <c r="N108" s="122">
        <f t="shared" si="22"/>
        <v>0.47320000000000001</v>
      </c>
      <c r="O108" s="122">
        <f t="shared" si="23"/>
        <v>0.50959999999999994</v>
      </c>
      <c r="P108" s="122">
        <f t="shared" si="23"/>
        <v>0.50959999999999994</v>
      </c>
      <c r="Q108" s="122">
        <f t="shared" si="24"/>
        <v>0.54600000000000004</v>
      </c>
      <c r="R108" s="122">
        <f t="shared" si="24"/>
        <v>0.54600000000000004</v>
      </c>
      <c r="S108" s="119" t="s">
        <v>416</v>
      </c>
      <c r="T108" s="108"/>
      <c r="U108" s="108"/>
      <c r="V108" s="108"/>
      <c r="W108" s="108"/>
      <c r="X108" s="108"/>
      <c r="Y108" s="108"/>
      <c r="Z108" s="108"/>
      <c r="AA108" s="108"/>
      <c r="AB108" s="108"/>
    </row>
    <row r="109" spans="1:28" s="361" customFormat="1" ht="20">
      <c r="A109" s="197" t="s">
        <v>231</v>
      </c>
      <c r="B109" s="197" t="s">
        <v>177</v>
      </c>
      <c r="C109" s="197" t="s">
        <v>177</v>
      </c>
      <c r="D109" s="197" t="s">
        <v>232</v>
      </c>
      <c r="E109" s="197" t="s">
        <v>232</v>
      </c>
      <c r="F109" s="197" t="s">
        <v>130</v>
      </c>
      <c r="G109" s="122">
        <v>0.373</v>
      </c>
      <c r="H109" s="122">
        <v>0.373</v>
      </c>
      <c r="I109" s="122">
        <f t="shared" si="20"/>
        <v>0.41030000000000005</v>
      </c>
      <c r="J109" s="122">
        <f t="shared" si="20"/>
        <v>0.41030000000000005</v>
      </c>
      <c r="K109" s="122">
        <f t="shared" si="21"/>
        <v>0.46625</v>
      </c>
      <c r="L109" s="122">
        <f t="shared" si="21"/>
        <v>0.46625</v>
      </c>
      <c r="M109" s="122">
        <f t="shared" si="22"/>
        <v>0.4849</v>
      </c>
      <c r="N109" s="122">
        <f t="shared" si="22"/>
        <v>0.4849</v>
      </c>
      <c r="O109" s="122">
        <f t="shared" si="23"/>
        <v>0.5222</v>
      </c>
      <c r="P109" s="122">
        <f t="shared" si="23"/>
        <v>0.5222</v>
      </c>
      <c r="Q109" s="122">
        <f t="shared" si="24"/>
        <v>0.5595</v>
      </c>
      <c r="R109" s="122">
        <f t="shared" si="24"/>
        <v>0.5595</v>
      </c>
      <c r="S109" s="196" t="s">
        <v>417</v>
      </c>
    </row>
    <row r="110" spans="1:28" s="361" customFormat="1" ht="20">
      <c r="A110" s="197" t="s">
        <v>233</v>
      </c>
      <c r="B110" s="197" t="s">
        <v>234</v>
      </c>
      <c r="C110" s="197" t="s">
        <v>234</v>
      </c>
      <c r="D110" s="197" t="s">
        <v>144</v>
      </c>
      <c r="E110" s="197" t="s">
        <v>144</v>
      </c>
      <c r="F110" s="197" t="s">
        <v>130</v>
      </c>
      <c r="G110" s="122">
        <v>0.38300000000000001</v>
      </c>
      <c r="H110" s="122">
        <v>0.38300000000000001</v>
      </c>
      <c r="I110" s="122">
        <f t="shared" si="20"/>
        <v>0.42130000000000006</v>
      </c>
      <c r="J110" s="122">
        <f t="shared" si="20"/>
        <v>0.42130000000000006</v>
      </c>
      <c r="K110" s="122">
        <f t="shared" si="21"/>
        <v>0.47875000000000001</v>
      </c>
      <c r="L110" s="122">
        <f t="shared" si="21"/>
        <v>0.47875000000000001</v>
      </c>
      <c r="M110" s="122">
        <f t="shared" si="22"/>
        <v>0.49790000000000001</v>
      </c>
      <c r="N110" s="122">
        <f t="shared" si="22"/>
        <v>0.49790000000000001</v>
      </c>
      <c r="O110" s="122">
        <f t="shared" si="23"/>
        <v>0.53620000000000001</v>
      </c>
      <c r="P110" s="122">
        <f t="shared" si="23"/>
        <v>0.53620000000000001</v>
      </c>
      <c r="Q110" s="122">
        <f t="shared" si="24"/>
        <v>0.57450000000000001</v>
      </c>
      <c r="R110" s="122">
        <f t="shared" si="24"/>
        <v>0.57450000000000001</v>
      </c>
      <c r="S110" s="196" t="s">
        <v>418</v>
      </c>
    </row>
    <row r="111" spans="1:28" ht="20">
      <c r="A111" s="118" t="s">
        <v>235</v>
      </c>
      <c r="B111" s="118" t="s">
        <v>236</v>
      </c>
      <c r="C111" s="118" t="s">
        <v>236</v>
      </c>
      <c r="D111" s="118" t="s">
        <v>237</v>
      </c>
      <c r="E111" s="118" t="s">
        <v>237</v>
      </c>
      <c r="F111" s="118" t="s">
        <v>130</v>
      </c>
      <c r="G111" s="122">
        <v>0.39100000000000001</v>
      </c>
      <c r="H111" s="122">
        <v>0.39100000000000001</v>
      </c>
      <c r="I111" s="122">
        <f t="shared" si="20"/>
        <v>0.43010000000000004</v>
      </c>
      <c r="J111" s="122">
        <f t="shared" si="20"/>
        <v>0.43010000000000004</v>
      </c>
      <c r="K111" s="122">
        <f t="shared" si="21"/>
        <v>0.48875000000000002</v>
      </c>
      <c r="L111" s="122">
        <f t="shared" si="21"/>
        <v>0.48875000000000002</v>
      </c>
      <c r="M111" s="122">
        <f t="shared" si="22"/>
        <v>0.50830000000000009</v>
      </c>
      <c r="N111" s="122">
        <f t="shared" si="22"/>
        <v>0.50830000000000009</v>
      </c>
      <c r="O111" s="122">
        <f t="shared" si="23"/>
        <v>0.5474</v>
      </c>
      <c r="P111" s="122">
        <f t="shared" si="23"/>
        <v>0.5474</v>
      </c>
      <c r="Q111" s="122">
        <f t="shared" si="24"/>
        <v>0.58650000000000002</v>
      </c>
      <c r="R111" s="122">
        <f t="shared" si="24"/>
        <v>0.58650000000000002</v>
      </c>
      <c r="S111" s="119" t="s">
        <v>419</v>
      </c>
      <c r="T111" s="108"/>
      <c r="U111" s="108"/>
      <c r="V111" s="108"/>
      <c r="W111" s="108"/>
      <c r="X111" s="108"/>
      <c r="Y111" s="108"/>
      <c r="Z111" s="108"/>
      <c r="AA111" s="108"/>
      <c r="AB111" s="108"/>
    </row>
    <row r="112" spans="1:28">
      <c r="A112" s="118" t="s">
        <v>238</v>
      </c>
      <c r="B112" s="118" t="s">
        <v>165</v>
      </c>
      <c r="C112" s="118" t="s">
        <v>165</v>
      </c>
      <c r="D112" s="118" t="s">
        <v>160</v>
      </c>
      <c r="E112" s="118" t="s">
        <v>160</v>
      </c>
      <c r="F112" s="118" t="s">
        <v>130</v>
      </c>
      <c r="G112" s="122">
        <v>0.40100000000000002</v>
      </c>
      <c r="H112" s="122">
        <v>0.40100000000000002</v>
      </c>
      <c r="I112" s="122">
        <f t="shared" si="20"/>
        <v>0.44110000000000005</v>
      </c>
      <c r="J112" s="122">
        <f t="shared" si="20"/>
        <v>0.44110000000000005</v>
      </c>
      <c r="K112" s="122">
        <f t="shared" si="21"/>
        <v>0.50124999999999997</v>
      </c>
      <c r="L112" s="122">
        <f t="shared" si="21"/>
        <v>0.50124999999999997</v>
      </c>
      <c r="M112" s="122">
        <f t="shared" si="22"/>
        <v>0.5213000000000001</v>
      </c>
      <c r="N112" s="122">
        <f t="shared" si="22"/>
        <v>0.5213000000000001</v>
      </c>
      <c r="O112" s="122">
        <f t="shared" si="23"/>
        <v>0.56140000000000001</v>
      </c>
      <c r="P112" s="122">
        <f t="shared" si="23"/>
        <v>0.56140000000000001</v>
      </c>
      <c r="Q112" s="122">
        <f t="shared" si="24"/>
        <v>0.60150000000000003</v>
      </c>
      <c r="R112" s="122">
        <f t="shared" si="24"/>
        <v>0.60150000000000003</v>
      </c>
      <c r="S112" s="123" t="s">
        <v>239</v>
      </c>
      <c r="T112" s="108"/>
      <c r="U112" s="108"/>
      <c r="V112" s="108"/>
      <c r="W112" s="108"/>
      <c r="X112" s="108"/>
      <c r="Y112" s="108"/>
      <c r="Z112" s="108"/>
      <c r="AA112" s="108"/>
      <c r="AB112" s="108"/>
    </row>
    <row r="113" spans="1:28">
      <c r="A113" s="118" t="s">
        <v>240</v>
      </c>
      <c r="B113" s="118" t="s">
        <v>173</v>
      </c>
      <c r="C113" s="118" t="s">
        <v>173</v>
      </c>
      <c r="D113" s="118" t="s">
        <v>241</v>
      </c>
      <c r="E113" s="118" t="s">
        <v>241</v>
      </c>
      <c r="F113" s="118" t="s">
        <v>130</v>
      </c>
      <c r="G113" s="122">
        <v>0.40899999999999997</v>
      </c>
      <c r="H113" s="122">
        <v>0.40899999999999997</v>
      </c>
      <c r="I113" s="122">
        <f t="shared" si="20"/>
        <v>0.44990000000000002</v>
      </c>
      <c r="J113" s="122">
        <f t="shared" si="20"/>
        <v>0.44990000000000002</v>
      </c>
      <c r="K113" s="122">
        <f t="shared" si="21"/>
        <v>0.51124999999999998</v>
      </c>
      <c r="L113" s="122">
        <f t="shared" si="21"/>
        <v>0.51124999999999998</v>
      </c>
      <c r="M113" s="122">
        <f t="shared" si="22"/>
        <v>0.53169999999999995</v>
      </c>
      <c r="N113" s="122">
        <f t="shared" si="22"/>
        <v>0.53169999999999995</v>
      </c>
      <c r="O113" s="122">
        <f t="shared" si="23"/>
        <v>0.57259999999999989</v>
      </c>
      <c r="P113" s="122">
        <f t="shared" si="23"/>
        <v>0.57259999999999989</v>
      </c>
      <c r="Q113" s="122">
        <f t="shared" si="24"/>
        <v>0.61349999999999993</v>
      </c>
      <c r="R113" s="122">
        <f t="shared" si="24"/>
        <v>0.61349999999999993</v>
      </c>
      <c r="S113" s="123" t="s">
        <v>242</v>
      </c>
      <c r="T113" s="108"/>
      <c r="U113" s="108"/>
      <c r="V113" s="108"/>
      <c r="W113" s="108"/>
      <c r="X113" s="108"/>
      <c r="Y113" s="108"/>
      <c r="Z113" s="108"/>
      <c r="AA113" s="108"/>
      <c r="AB113" s="108"/>
    </row>
    <row r="114" spans="1:28">
      <c r="A114" s="118" t="s">
        <v>243</v>
      </c>
      <c r="B114" s="118" t="s">
        <v>167</v>
      </c>
      <c r="C114" s="118" t="s">
        <v>167</v>
      </c>
      <c r="D114" s="118" t="s">
        <v>140</v>
      </c>
      <c r="E114" s="118" t="s">
        <v>140</v>
      </c>
      <c r="F114" s="118" t="s">
        <v>130</v>
      </c>
      <c r="G114" s="122">
        <v>0.41899999999999998</v>
      </c>
      <c r="H114" s="122">
        <v>0.41899999999999998</v>
      </c>
      <c r="I114" s="122">
        <f t="shared" si="20"/>
        <v>0.46090000000000003</v>
      </c>
      <c r="J114" s="122">
        <f t="shared" si="20"/>
        <v>0.46090000000000003</v>
      </c>
      <c r="K114" s="122">
        <f t="shared" si="21"/>
        <v>0.52374999999999994</v>
      </c>
      <c r="L114" s="122">
        <f t="shared" si="21"/>
        <v>0.52374999999999994</v>
      </c>
      <c r="M114" s="122">
        <f t="shared" si="22"/>
        <v>0.54469999999999996</v>
      </c>
      <c r="N114" s="122">
        <f t="shared" si="22"/>
        <v>0.54469999999999996</v>
      </c>
      <c r="O114" s="122">
        <f t="shared" si="23"/>
        <v>0.5865999999999999</v>
      </c>
      <c r="P114" s="122">
        <f t="shared" si="23"/>
        <v>0.5865999999999999</v>
      </c>
      <c r="Q114" s="122">
        <f t="shared" si="24"/>
        <v>0.62849999999999995</v>
      </c>
      <c r="R114" s="122">
        <f t="shared" si="24"/>
        <v>0.62849999999999995</v>
      </c>
      <c r="S114" s="123" t="s">
        <v>244</v>
      </c>
      <c r="T114" s="108"/>
      <c r="U114" s="108"/>
      <c r="V114" s="108"/>
      <c r="W114" s="108"/>
      <c r="X114" s="108"/>
      <c r="Y114" s="108"/>
      <c r="Z114" s="108"/>
      <c r="AA114" s="108"/>
      <c r="AB114" s="108"/>
    </row>
    <row r="115" spans="1:28">
      <c r="A115" s="118" t="s">
        <v>245</v>
      </c>
      <c r="B115" s="118" t="s">
        <v>151</v>
      </c>
      <c r="C115" s="118" t="s">
        <v>151</v>
      </c>
      <c r="D115" s="118" t="s">
        <v>125</v>
      </c>
      <c r="E115" s="118" t="s">
        <v>125</v>
      </c>
      <c r="F115" s="118" t="s">
        <v>130</v>
      </c>
      <c r="G115" s="122">
        <v>0.42</v>
      </c>
      <c r="H115" s="122">
        <v>0.42</v>
      </c>
      <c r="I115" s="122">
        <f t="shared" si="20"/>
        <v>0.46200000000000002</v>
      </c>
      <c r="J115" s="122">
        <f t="shared" si="20"/>
        <v>0.46200000000000002</v>
      </c>
      <c r="K115" s="122">
        <f t="shared" si="21"/>
        <v>0.52500000000000002</v>
      </c>
      <c r="L115" s="122">
        <f t="shared" si="21"/>
        <v>0.52500000000000002</v>
      </c>
      <c r="M115" s="122">
        <f t="shared" si="22"/>
        <v>0.54600000000000004</v>
      </c>
      <c r="N115" s="122">
        <f t="shared" si="22"/>
        <v>0.54600000000000004</v>
      </c>
      <c r="O115" s="122">
        <f t="shared" si="23"/>
        <v>0.58799999999999997</v>
      </c>
      <c r="P115" s="122">
        <f t="shared" si="23"/>
        <v>0.58799999999999997</v>
      </c>
      <c r="Q115" s="122">
        <f t="shared" si="24"/>
        <v>0.63</v>
      </c>
      <c r="R115" s="122">
        <f t="shared" si="24"/>
        <v>0.63</v>
      </c>
      <c r="S115" s="123" t="s">
        <v>246</v>
      </c>
      <c r="T115" s="108"/>
      <c r="U115" s="108"/>
      <c r="V115" s="108"/>
      <c r="W115" s="108"/>
      <c r="X115" s="108"/>
      <c r="Y115" s="108"/>
      <c r="Z115" s="108"/>
      <c r="AA115" s="108"/>
      <c r="AB115" s="108"/>
    </row>
    <row r="116" spans="1:28" ht="20">
      <c r="A116" s="118" t="s">
        <v>247</v>
      </c>
      <c r="B116" s="118" t="s">
        <v>125</v>
      </c>
      <c r="C116" s="118" t="s">
        <v>125</v>
      </c>
      <c r="D116" s="118" t="s">
        <v>133</v>
      </c>
      <c r="E116" s="118" t="s">
        <v>133</v>
      </c>
      <c r="F116" s="118" t="s">
        <v>130</v>
      </c>
      <c r="G116" s="122">
        <v>0.34200000000000003</v>
      </c>
      <c r="H116" s="122">
        <v>0.34200000000000003</v>
      </c>
      <c r="I116" s="122">
        <f t="shared" si="20"/>
        <v>0.37620000000000003</v>
      </c>
      <c r="J116" s="122">
        <f t="shared" si="20"/>
        <v>0.37620000000000003</v>
      </c>
      <c r="K116" s="122">
        <f t="shared" si="21"/>
        <v>0.42750000000000005</v>
      </c>
      <c r="L116" s="122">
        <f t="shared" si="21"/>
        <v>0.42750000000000005</v>
      </c>
      <c r="M116" s="122">
        <f t="shared" si="22"/>
        <v>0.44460000000000005</v>
      </c>
      <c r="N116" s="122">
        <f t="shared" si="22"/>
        <v>0.44460000000000005</v>
      </c>
      <c r="O116" s="122">
        <f t="shared" si="23"/>
        <v>0.4788</v>
      </c>
      <c r="P116" s="122">
        <f t="shared" si="23"/>
        <v>0.4788</v>
      </c>
      <c r="Q116" s="122">
        <f t="shared" si="24"/>
        <v>0.51300000000000001</v>
      </c>
      <c r="R116" s="122">
        <f t="shared" si="24"/>
        <v>0.51300000000000001</v>
      </c>
      <c r="S116" s="123" t="s">
        <v>403</v>
      </c>
      <c r="T116" s="108"/>
      <c r="U116" s="108"/>
      <c r="V116" s="108"/>
      <c r="W116" s="108"/>
      <c r="X116" s="108"/>
      <c r="Y116" s="108"/>
      <c r="Z116" s="108"/>
      <c r="AA116" s="108"/>
      <c r="AB116" s="108"/>
    </row>
    <row r="117" spans="1:28">
      <c r="A117" s="118" t="s">
        <v>248</v>
      </c>
      <c r="B117" s="118" t="s">
        <v>168</v>
      </c>
      <c r="C117" s="118" t="s">
        <v>168</v>
      </c>
      <c r="D117" s="118" t="s">
        <v>111</v>
      </c>
      <c r="E117" s="118" t="s">
        <v>111</v>
      </c>
      <c r="F117" s="118" t="s">
        <v>130</v>
      </c>
      <c r="G117" s="122">
        <v>0.40100000000000002</v>
      </c>
      <c r="H117" s="122">
        <v>0.40100000000000002</v>
      </c>
      <c r="I117" s="122">
        <f t="shared" si="20"/>
        <v>0.44110000000000005</v>
      </c>
      <c r="J117" s="122">
        <f t="shared" si="20"/>
        <v>0.44110000000000005</v>
      </c>
      <c r="K117" s="122">
        <f t="shared" si="21"/>
        <v>0.50124999999999997</v>
      </c>
      <c r="L117" s="122">
        <f t="shared" si="21"/>
        <v>0.50124999999999997</v>
      </c>
      <c r="M117" s="122">
        <f t="shared" si="22"/>
        <v>0.5213000000000001</v>
      </c>
      <c r="N117" s="122">
        <f t="shared" si="22"/>
        <v>0.5213000000000001</v>
      </c>
      <c r="O117" s="122">
        <f t="shared" si="23"/>
        <v>0.56140000000000001</v>
      </c>
      <c r="P117" s="122">
        <f t="shared" si="23"/>
        <v>0.56140000000000001</v>
      </c>
      <c r="Q117" s="122">
        <f t="shared" si="24"/>
        <v>0.60150000000000003</v>
      </c>
      <c r="R117" s="122">
        <f t="shared" si="24"/>
        <v>0.60150000000000003</v>
      </c>
      <c r="S117" s="123" t="s">
        <v>208</v>
      </c>
      <c r="T117" s="108"/>
      <c r="U117" s="108"/>
      <c r="V117" s="108"/>
      <c r="W117" s="108"/>
      <c r="X117" s="108"/>
      <c r="Y117" s="108"/>
      <c r="Z117" s="108"/>
      <c r="AA117" s="108"/>
      <c r="AB117" s="108"/>
    </row>
    <row r="118" spans="1:28">
      <c r="A118" s="118" t="s">
        <v>249</v>
      </c>
      <c r="B118" s="118" t="s">
        <v>170</v>
      </c>
      <c r="C118" s="118" t="s">
        <v>170</v>
      </c>
      <c r="D118" s="118" t="s">
        <v>145</v>
      </c>
      <c r="E118" s="118" t="s">
        <v>145</v>
      </c>
      <c r="F118" s="118" t="s">
        <v>130</v>
      </c>
      <c r="G118" s="122">
        <v>0.41599999999999998</v>
      </c>
      <c r="H118" s="122">
        <v>0.41599999999999998</v>
      </c>
      <c r="I118" s="122">
        <f t="shared" si="20"/>
        <v>0.45760000000000001</v>
      </c>
      <c r="J118" s="122">
        <f t="shared" si="20"/>
        <v>0.45760000000000001</v>
      </c>
      <c r="K118" s="122">
        <f t="shared" si="21"/>
        <v>0.52</v>
      </c>
      <c r="L118" s="122">
        <f t="shared" si="21"/>
        <v>0.52</v>
      </c>
      <c r="M118" s="122">
        <f t="shared" si="22"/>
        <v>0.54079999999999995</v>
      </c>
      <c r="N118" s="122">
        <f t="shared" si="22"/>
        <v>0.54079999999999995</v>
      </c>
      <c r="O118" s="122">
        <f t="shared" si="23"/>
        <v>0.58239999999999992</v>
      </c>
      <c r="P118" s="122">
        <f t="shared" si="23"/>
        <v>0.58239999999999992</v>
      </c>
      <c r="Q118" s="122">
        <f t="shared" si="24"/>
        <v>0.624</v>
      </c>
      <c r="R118" s="122">
        <f t="shared" si="24"/>
        <v>0.624</v>
      </c>
      <c r="S118" s="123" t="s">
        <v>220</v>
      </c>
      <c r="T118" s="108"/>
      <c r="U118" s="108"/>
      <c r="V118" s="108"/>
      <c r="W118" s="108"/>
      <c r="X118" s="108"/>
      <c r="Y118" s="108"/>
      <c r="Z118" s="108"/>
      <c r="AA118" s="108"/>
      <c r="AB118" s="108"/>
    </row>
    <row r="119" spans="1:28">
      <c r="A119" s="118" t="s">
        <v>250</v>
      </c>
      <c r="B119" s="118" t="s">
        <v>170</v>
      </c>
      <c r="C119" s="118" t="s">
        <v>170</v>
      </c>
      <c r="D119" s="124" t="s">
        <v>119</v>
      </c>
      <c r="E119" s="124" t="s">
        <v>119</v>
      </c>
      <c r="F119" s="118" t="s">
        <v>130</v>
      </c>
      <c r="G119" s="122">
        <v>0.42899999999999999</v>
      </c>
      <c r="H119" s="122">
        <v>0.42899999999999999</v>
      </c>
      <c r="I119" s="122">
        <f t="shared" si="20"/>
        <v>0.47190000000000004</v>
      </c>
      <c r="J119" s="122">
        <f t="shared" si="20"/>
        <v>0.47190000000000004</v>
      </c>
      <c r="K119" s="122">
        <f t="shared" si="21"/>
        <v>0.53625</v>
      </c>
      <c r="L119" s="122">
        <f t="shared" si="21"/>
        <v>0.53625</v>
      </c>
      <c r="M119" s="122">
        <f t="shared" si="22"/>
        <v>0.55769999999999997</v>
      </c>
      <c r="N119" s="122">
        <f t="shared" si="22"/>
        <v>0.55769999999999997</v>
      </c>
      <c r="O119" s="122">
        <f t="shared" si="23"/>
        <v>0.60059999999999991</v>
      </c>
      <c r="P119" s="122">
        <f t="shared" si="23"/>
        <v>0.60059999999999991</v>
      </c>
      <c r="Q119" s="122">
        <f t="shared" si="24"/>
        <v>0.64349999999999996</v>
      </c>
      <c r="R119" s="122">
        <f t="shared" si="24"/>
        <v>0.64349999999999996</v>
      </c>
      <c r="S119" s="123" t="s">
        <v>220</v>
      </c>
      <c r="T119" s="108"/>
      <c r="U119" s="108"/>
      <c r="V119" s="108"/>
      <c r="W119" s="108"/>
      <c r="X119" s="108"/>
      <c r="Y119" s="108"/>
      <c r="Z119" s="108"/>
      <c r="AA119" s="108"/>
      <c r="AB119" s="108"/>
    </row>
    <row r="120" spans="1:28" ht="20">
      <c r="A120" s="118" t="s">
        <v>251</v>
      </c>
      <c r="B120" s="118" t="s">
        <v>170</v>
      </c>
      <c r="C120" s="118" t="s">
        <v>170</v>
      </c>
      <c r="D120" s="118" t="s">
        <v>236</v>
      </c>
      <c r="E120" s="118" t="s">
        <v>236</v>
      </c>
      <c r="F120" s="118" t="s">
        <v>130</v>
      </c>
      <c r="G120" s="122">
        <v>0.443</v>
      </c>
      <c r="H120" s="122">
        <v>0.443</v>
      </c>
      <c r="I120" s="122">
        <f t="shared" si="20"/>
        <v>0.48730000000000007</v>
      </c>
      <c r="J120" s="122">
        <f t="shared" si="20"/>
        <v>0.48730000000000007</v>
      </c>
      <c r="K120" s="122">
        <f t="shared" si="21"/>
        <v>0.55374999999999996</v>
      </c>
      <c r="L120" s="122">
        <f t="shared" si="21"/>
        <v>0.55374999999999996</v>
      </c>
      <c r="M120" s="122">
        <f t="shared" si="22"/>
        <v>0.57590000000000008</v>
      </c>
      <c r="N120" s="122">
        <f t="shared" si="22"/>
        <v>0.57590000000000008</v>
      </c>
      <c r="O120" s="122">
        <f t="shared" si="23"/>
        <v>0.62019999999999997</v>
      </c>
      <c r="P120" s="122">
        <f t="shared" si="23"/>
        <v>0.62019999999999997</v>
      </c>
      <c r="Q120" s="122">
        <f t="shared" si="24"/>
        <v>0.66449999999999998</v>
      </c>
      <c r="R120" s="122">
        <f t="shared" si="24"/>
        <v>0.66449999999999998</v>
      </c>
      <c r="S120" s="123" t="s">
        <v>427</v>
      </c>
      <c r="T120" s="108"/>
      <c r="U120" s="108"/>
      <c r="V120" s="108"/>
      <c r="W120" s="108"/>
      <c r="X120" s="108"/>
      <c r="Y120" s="108"/>
      <c r="Z120" s="108"/>
      <c r="AA120" s="108"/>
      <c r="AB120" s="108"/>
    </row>
    <row r="121" spans="1:28" ht="20">
      <c r="A121" s="118" t="s">
        <v>252</v>
      </c>
      <c r="B121" s="118" t="s">
        <v>178</v>
      </c>
      <c r="C121" s="118" t="s">
        <v>178</v>
      </c>
      <c r="D121" s="118" t="s">
        <v>116</v>
      </c>
      <c r="E121" s="118" t="s">
        <v>116</v>
      </c>
      <c r="F121" s="118" t="s">
        <v>130</v>
      </c>
      <c r="G121" s="122">
        <v>0.44600000000000001</v>
      </c>
      <c r="H121" s="122">
        <v>0.44600000000000001</v>
      </c>
      <c r="I121" s="122">
        <f t="shared" si="20"/>
        <v>0.49060000000000004</v>
      </c>
      <c r="J121" s="122">
        <f t="shared" si="20"/>
        <v>0.49060000000000004</v>
      </c>
      <c r="K121" s="122">
        <f t="shared" si="21"/>
        <v>0.5575</v>
      </c>
      <c r="L121" s="122">
        <f t="shared" si="21"/>
        <v>0.5575</v>
      </c>
      <c r="M121" s="122">
        <f t="shared" si="22"/>
        <v>0.57979999999999998</v>
      </c>
      <c r="N121" s="122">
        <f t="shared" si="22"/>
        <v>0.57979999999999998</v>
      </c>
      <c r="O121" s="122">
        <f t="shared" si="23"/>
        <v>0.62439999999999996</v>
      </c>
      <c r="P121" s="122">
        <f t="shared" si="23"/>
        <v>0.62439999999999996</v>
      </c>
      <c r="Q121" s="122">
        <f t="shared" si="24"/>
        <v>0.66900000000000004</v>
      </c>
      <c r="R121" s="122">
        <f t="shared" si="24"/>
        <v>0.66900000000000004</v>
      </c>
      <c r="S121" s="123" t="s">
        <v>427</v>
      </c>
      <c r="T121" s="108"/>
      <c r="U121" s="108"/>
      <c r="V121" s="108"/>
      <c r="W121" s="108"/>
      <c r="X121" s="108"/>
      <c r="Y121" s="108"/>
      <c r="Z121" s="108"/>
      <c r="AA121" s="108"/>
      <c r="AB121" s="108"/>
    </row>
    <row r="122" spans="1:28" ht="20">
      <c r="A122" s="118" t="s">
        <v>253</v>
      </c>
      <c r="B122" s="118" t="s">
        <v>254</v>
      </c>
      <c r="C122" s="118" t="s">
        <v>254</v>
      </c>
      <c r="D122" s="124" t="s">
        <v>255</v>
      </c>
      <c r="E122" s="124" t="s">
        <v>255</v>
      </c>
      <c r="F122" s="118" t="s">
        <v>130</v>
      </c>
      <c r="G122" s="122">
        <v>0.40699999999999997</v>
      </c>
      <c r="H122" s="122">
        <v>0.40699999999999997</v>
      </c>
      <c r="I122" s="122">
        <f t="shared" si="20"/>
        <v>0.44769999999999999</v>
      </c>
      <c r="J122" s="122">
        <f t="shared" si="20"/>
        <v>0.44769999999999999</v>
      </c>
      <c r="K122" s="122">
        <f t="shared" si="21"/>
        <v>0.50874999999999992</v>
      </c>
      <c r="L122" s="122">
        <f t="shared" si="21"/>
        <v>0.50874999999999992</v>
      </c>
      <c r="M122" s="122">
        <f t="shared" si="22"/>
        <v>0.52910000000000001</v>
      </c>
      <c r="N122" s="122">
        <f t="shared" si="22"/>
        <v>0.52910000000000001</v>
      </c>
      <c r="O122" s="122">
        <f t="shared" si="23"/>
        <v>0.56979999999999997</v>
      </c>
      <c r="P122" s="122">
        <f t="shared" si="23"/>
        <v>0.56979999999999997</v>
      </c>
      <c r="Q122" s="122">
        <f t="shared" si="24"/>
        <v>0.61049999999999993</v>
      </c>
      <c r="R122" s="122">
        <f t="shared" si="24"/>
        <v>0.61049999999999993</v>
      </c>
      <c r="S122" s="123" t="s">
        <v>427</v>
      </c>
      <c r="T122" s="108"/>
      <c r="U122" s="108"/>
      <c r="V122" s="108"/>
      <c r="W122" s="108"/>
      <c r="X122" s="108"/>
      <c r="Y122" s="108"/>
      <c r="Z122" s="108"/>
      <c r="AA122" s="108"/>
      <c r="AB122" s="108"/>
    </row>
    <row r="123" spans="1:28" ht="20">
      <c r="A123" s="118" t="s">
        <v>256</v>
      </c>
      <c r="B123" s="118" t="s">
        <v>257</v>
      </c>
      <c r="C123" s="118" t="s">
        <v>257</v>
      </c>
      <c r="D123" s="124" t="s">
        <v>167</v>
      </c>
      <c r="E123" s="124" t="s">
        <v>167</v>
      </c>
      <c r="F123" s="118" t="s">
        <v>130</v>
      </c>
      <c r="G123" s="122">
        <v>0.41</v>
      </c>
      <c r="H123" s="122">
        <v>0.41</v>
      </c>
      <c r="I123" s="122">
        <f t="shared" si="20"/>
        <v>0.45100000000000001</v>
      </c>
      <c r="J123" s="122">
        <f t="shared" si="20"/>
        <v>0.45100000000000001</v>
      </c>
      <c r="K123" s="122">
        <f t="shared" si="21"/>
        <v>0.51249999999999996</v>
      </c>
      <c r="L123" s="122">
        <f t="shared" si="21"/>
        <v>0.51249999999999996</v>
      </c>
      <c r="M123" s="122">
        <f t="shared" si="22"/>
        <v>0.53300000000000003</v>
      </c>
      <c r="N123" s="122">
        <f t="shared" si="22"/>
        <v>0.53300000000000003</v>
      </c>
      <c r="O123" s="122">
        <f t="shared" si="23"/>
        <v>0.57399999999999995</v>
      </c>
      <c r="P123" s="122">
        <f t="shared" si="23"/>
        <v>0.57399999999999995</v>
      </c>
      <c r="Q123" s="122">
        <f t="shared" si="24"/>
        <v>0.61499999999999999</v>
      </c>
      <c r="R123" s="122">
        <f t="shared" si="24"/>
        <v>0.61499999999999999</v>
      </c>
      <c r="S123" s="123" t="s">
        <v>427</v>
      </c>
      <c r="T123" s="108"/>
      <c r="U123" s="108"/>
      <c r="V123" s="108"/>
      <c r="W123" s="108"/>
      <c r="X123" s="108"/>
      <c r="Y123" s="108"/>
      <c r="Z123" s="108"/>
      <c r="AA123" s="108"/>
      <c r="AB123" s="108"/>
    </row>
    <row r="124" spans="1:28" ht="20">
      <c r="A124" s="118" t="s">
        <v>258</v>
      </c>
      <c r="B124" s="118" t="s">
        <v>259</v>
      </c>
      <c r="C124" s="118" t="s">
        <v>259</v>
      </c>
      <c r="D124" s="124" t="s">
        <v>173</v>
      </c>
      <c r="E124" s="124" t="s">
        <v>173</v>
      </c>
      <c r="F124" s="118" t="s">
        <v>130</v>
      </c>
      <c r="G124" s="122">
        <v>0.43</v>
      </c>
      <c r="H124" s="122">
        <v>0.43</v>
      </c>
      <c r="I124" s="122">
        <f t="shared" si="20"/>
        <v>0.47300000000000003</v>
      </c>
      <c r="J124" s="122">
        <f t="shared" si="20"/>
        <v>0.47300000000000003</v>
      </c>
      <c r="K124" s="122">
        <f t="shared" si="21"/>
        <v>0.53749999999999998</v>
      </c>
      <c r="L124" s="122">
        <f t="shared" si="21"/>
        <v>0.53749999999999998</v>
      </c>
      <c r="M124" s="122">
        <f t="shared" si="22"/>
        <v>0.55900000000000005</v>
      </c>
      <c r="N124" s="122">
        <f t="shared" si="22"/>
        <v>0.55900000000000005</v>
      </c>
      <c r="O124" s="122">
        <f t="shared" si="23"/>
        <v>0.60199999999999998</v>
      </c>
      <c r="P124" s="122">
        <f t="shared" si="23"/>
        <v>0.60199999999999998</v>
      </c>
      <c r="Q124" s="122">
        <f t="shared" si="24"/>
        <v>0.64500000000000002</v>
      </c>
      <c r="R124" s="122">
        <f t="shared" si="24"/>
        <v>0.64500000000000002</v>
      </c>
      <c r="S124" s="123" t="s">
        <v>427</v>
      </c>
      <c r="T124" s="108"/>
      <c r="U124" s="108"/>
      <c r="V124" s="108"/>
      <c r="W124" s="108"/>
      <c r="X124" s="108"/>
      <c r="Y124" s="108"/>
      <c r="Z124" s="108"/>
      <c r="AA124" s="108"/>
      <c r="AB124" s="108"/>
    </row>
    <row r="126" spans="1:28">
      <c r="I126" s="129"/>
      <c r="J126" s="130"/>
      <c r="K126" s="130"/>
      <c r="L126" s="131" t="s">
        <v>95</v>
      </c>
      <c r="M126" s="130"/>
      <c r="N126" s="130"/>
      <c r="O126" s="130"/>
      <c r="P126" s="130"/>
      <c r="Q126" s="130"/>
      <c r="R126" s="132"/>
      <c r="S126" s="123"/>
      <c r="T126" s="108"/>
      <c r="U126" s="108"/>
      <c r="V126" s="108"/>
      <c r="W126" s="108"/>
      <c r="X126" s="108"/>
      <c r="Y126" s="108"/>
      <c r="Z126" s="108"/>
      <c r="AA126" s="108"/>
      <c r="AB126" s="108"/>
    </row>
    <row r="127" spans="1:28">
      <c r="B127" s="137" t="s">
        <v>435</v>
      </c>
      <c r="C127" s="132"/>
      <c r="D127" s="131" t="s">
        <v>96</v>
      </c>
      <c r="E127" s="130"/>
      <c r="F127" s="144" t="s">
        <v>97</v>
      </c>
      <c r="G127" s="135" t="s">
        <v>98</v>
      </c>
      <c r="H127" s="132"/>
      <c r="I127" s="141">
        <f>$I$6</f>
        <v>1.1000000000000001</v>
      </c>
      <c r="J127" s="145"/>
      <c r="K127" s="125">
        <f>$K$6</f>
        <v>1.25</v>
      </c>
      <c r="L127" s="145"/>
      <c r="M127" s="125">
        <f>$M$6</f>
        <v>1.3</v>
      </c>
      <c r="N127" s="145"/>
      <c r="O127" s="125">
        <f>$O$6</f>
        <v>1.4</v>
      </c>
      <c r="P127" s="145"/>
      <c r="Q127" s="125">
        <f>$Q$6</f>
        <v>1.5</v>
      </c>
      <c r="R127" s="134"/>
      <c r="S127" s="123"/>
      <c r="T127" s="108"/>
      <c r="U127" s="108"/>
      <c r="V127" s="108"/>
      <c r="W127" s="108"/>
      <c r="X127" s="108"/>
      <c r="Y127" s="108"/>
      <c r="Z127" s="108"/>
      <c r="AA127" s="108"/>
      <c r="AB127" s="108"/>
    </row>
    <row r="128" spans="1:28">
      <c r="B128" s="142" t="s">
        <v>99</v>
      </c>
      <c r="C128" s="143" t="s">
        <v>38</v>
      </c>
      <c r="D128" s="142" t="s">
        <v>99</v>
      </c>
      <c r="E128" s="143" t="s">
        <v>38</v>
      </c>
      <c r="F128" s="138" t="s">
        <v>436</v>
      </c>
      <c r="G128" s="142" t="s">
        <v>99</v>
      </c>
      <c r="H128" s="143" t="s">
        <v>38</v>
      </c>
      <c r="I128" s="139" t="s">
        <v>99</v>
      </c>
      <c r="J128" s="140" t="s">
        <v>38</v>
      </c>
      <c r="K128" s="139" t="s">
        <v>99</v>
      </c>
      <c r="L128" s="140" t="s">
        <v>38</v>
      </c>
      <c r="M128" s="139" t="s">
        <v>99</v>
      </c>
      <c r="N128" s="140" t="s">
        <v>38</v>
      </c>
      <c r="O128" s="139" t="s">
        <v>99</v>
      </c>
      <c r="P128" s="140" t="s">
        <v>38</v>
      </c>
      <c r="Q128" s="139" t="s">
        <v>99</v>
      </c>
      <c r="R128" s="140" t="s">
        <v>38</v>
      </c>
      <c r="S128" s="116" t="s">
        <v>100</v>
      </c>
      <c r="T128" s="108"/>
      <c r="U128" s="108"/>
      <c r="V128" s="108"/>
      <c r="W128" s="108"/>
      <c r="X128" s="108"/>
      <c r="Y128" s="108"/>
      <c r="Z128" s="108"/>
      <c r="AA128" s="108"/>
      <c r="AB128" s="108"/>
    </row>
    <row r="129" spans="1:28">
      <c r="A129" s="118" t="s">
        <v>103</v>
      </c>
      <c r="B129" s="118" t="s">
        <v>33</v>
      </c>
      <c r="C129" s="118" t="s">
        <v>33</v>
      </c>
      <c r="D129" s="118" t="s">
        <v>33</v>
      </c>
      <c r="E129" s="118" t="s">
        <v>33</v>
      </c>
      <c r="F129" s="118" t="s">
        <v>33</v>
      </c>
      <c r="G129" s="120" t="s">
        <v>11</v>
      </c>
      <c r="H129" s="120" t="s">
        <v>11</v>
      </c>
      <c r="I129" s="120" t="s">
        <v>11</v>
      </c>
      <c r="J129" s="120" t="s">
        <v>11</v>
      </c>
      <c r="K129" s="120" t="s">
        <v>11</v>
      </c>
      <c r="L129" s="120" t="s">
        <v>11</v>
      </c>
      <c r="M129" s="120" t="s">
        <v>11</v>
      </c>
      <c r="N129" s="120" t="s">
        <v>11</v>
      </c>
      <c r="O129" s="120" t="s">
        <v>11</v>
      </c>
      <c r="P129" s="120" t="s">
        <v>11</v>
      </c>
      <c r="Q129" s="120" t="s">
        <v>11</v>
      </c>
      <c r="R129" s="120" t="s">
        <v>11</v>
      </c>
      <c r="T129" s="108"/>
      <c r="U129" s="108"/>
      <c r="V129" s="108"/>
      <c r="W129" s="108"/>
      <c r="X129" s="108"/>
      <c r="Y129" s="108"/>
      <c r="Z129" s="108"/>
      <c r="AA129" s="108"/>
      <c r="AB129" s="108"/>
    </row>
    <row r="130" spans="1:28">
      <c r="A130" s="120" t="s">
        <v>260</v>
      </c>
      <c r="T130" s="108"/>
      <c r="U130" s="108"/>
      <c r="V130" s="108"/>
      <c r="W130" s="108"/>
      <c r="X130" s="108"/>
      <c r="Y130" s="108"/>
      <c r="Z130" s="108"/>
      <c r="AA130" s="108"/>
      <c r="AB130" s="108"/>
    </row>
    <row r="131" spans="1:28" ht="20">
      <c r="A131" s="118" t="s">
        <v>261</v>
      </c>
      <c r="B131" s="118" t="s">
        <v>140</v>
      </c>
      <c r="C131" s="118" t="s">
        <v>140</v>
      </c>
      <c r="D131" s="124" t="s">
        <v>262</v>
      </c>
      <c r="E131" s="124" t="s">
        <v>262</v>
      </c>
      <c r="F131" s="118" t="s">
        <v>130</v>
      </c>
      <c r="G131" s="122">
        <v>0.307</v>
      </c>
      <c r="H131" s="122">
        <v>0.307</v>
      </c>
      <c r="I131" s="122">
        <f t="shared" ref="I131:J140" si="25">$I$6*G131</f>
        <v>0.3377</v>
      </c>
      <c r="J131" s="122">
        <f t="shared" si="25"/>
        <v>0.3377</v>
      </c>
      <c r="K131" s="122">
        <f t="shared" ref="K131:L140" si="26">$K$6*G131</f>
        <v>0.38374999999999998</v>
      </c>
      <c r="L131" s="122">
        <f t="shared" si="26"/>
        <v>0.38374999999999998</v>
      </c>
      <c r="M131" s="122">
        <f t="shared" ref="M131:N140" si="27">$M$6*G131</f>
        <v>0.39910000000000001</v>
      </c>
      <c r="N131" s="122">
        <f t="shared" si="27"/>
        <v>0.39910000000000001</v>
      </c>
      <c r="O131" s="122">
        <f t="shared" ref="O131:P140" si="28">$O$6*G131</f>
        <v>0.42979999999999996</v>
      </c>
      <c r="P131" s="122">
        <f t="shared" si="28"/>
        <v>0.42979999999999996</v>
      </c>
      <c r="Q131" s="122">
        <f t="shared" ref="Q131:R140" si="29">$Q$6*G131</f>
        <v>0.46050000000000002</v>
      </c>
      <c r="R131" s="122">
        <f t="shared" si="29"/>
        <v>0.46050000000000002</v>
      </c>
      <c r="S131" s="119" t="s">
        <v>428</v>
      </c>
      <c r="T131" s="108"/>
      <c r="U131" s="108"/>
      <c r="V131" s="108"/>
      <c r="W131" s="108"/>
      <c r="X131" s="108"/>
      <c r="Y131" s="108"/>
      <c r="Z131" s="108"/>
      <c r="AA131" s="108"/>
      <c r="AB131" s="108"/>
    </row>
    <row r="132" spans="1:28">
      <c r="A132" s="118" t="s">
        <v>263</v>
      </c>
      <c r="B132" s="118" t="s">
        <v>177</v>
      </c>
      <c r="C132" s="118" t="s">
        <v>177</v>
      </c>
      <c r="D132" s="127" t="s">
        <v>264</v>
      </c>
      <c r="E132" s="127" t="s">
        <v>264</v>
      </c>
      <c r="F132" s="118" t="s">
        <v>130</v>
      </c>
      <c r="G132" s="122">
        <v>0.35</v>
      </c>
      <c r="H132" s="122">
        <v>0.35</v>
      </c>
      <c r="I132" s="122">
        <f t="shared" si="25"/>
        <v>0.38500000000000001</v>
      </c>
      <c r="J132" s="122">
        <f t="shared" si="25"/>
        <v>0.38500000000000001</v>
      </c>
      <c r="K132" s="122">
        <f t="shared" si="26"/>
        <v>0.4375</v>
      </c>
      <c r="L132" s="122">
        <f t="shared" si="26"/>
        <v>0.4375</v>
      </c>
      <c r="M132" s="122">
        <f t="shared" si="27"/>
        <v>0.45499999999999996</v>
      </c>
      <c r="N132" s="122">
        <f t="shared" si="27"/>
        <v>0.45499999999999996</v>
      </c>
      <c r="O132" s="122">
        <f t="shared" si="28"/>
        <v>0.48999999999999994</v>
      </c>
      <c r="P132" s="122">
        <f t="shared" si="28"/>
        <v>0.48999999999999994</v>
      </c>
      <c r="Q132" s="122">
        <f t="shared" si="29"/>
        <v>0.52499999999999991</v>
      </c>
      <c r="R132" s="122">
        <f t="shared" si="29"/>
        <v>0.52499999999999991</v>
      </c>
      <c r="S132" s="119" t="s">
        <v>265</v>
      </c>
      <c r="T132" s="108"/>
      <c r="U132" s="108"/>
      <c r="V132" s="108"/>
      <c r="W132" s="108"/>
      <c r="X132" s="108"/>
      <c r="Y132" s="108"/>
      <c r="Z132" s="108"/>
      <c r="AA132" s="108"/>
      <c r="AB132" s="108"/>
    </row>
    <row r="133" spans="1:28" s="197" customFormat="1" ht="17">
      <c r="A133" s="197" t="s">
        <v>266</v>
      </c>
      <c r="B133" s="197" t="s">
        <v>146</v>
      </c>
      <c r="C133" s="197" t="s">
        <v>146</v>
      </c>
      <c r="D133" s="197" t="s">
        <v>211</v>
      </c>
      <c r="E133" s="197" t="s">
        <v>211</v>
      </c>
      <c r="F133" s="197" t="s">
        <v>130</v>
      </c>
      <c r="G133" s="197">
        <v>0.373</v>
      </c>
      <c r="H133" s="197">
        <v>0.373</v>
      </c>
      <c r="I133" s="122">
        <f t="shared" si="25"/>
        <v>0.41030000000000005</v>
      </c>
      <c r="J133" s="122">
        <f t="shared" si="25"/>
        <v>0.41030000000000005</v>
      </c>
      <c r="K133" s="122">
        <f t="shared" si="26"/>
        <v>0.46625</v>
      </c>
      <c r="L133" s="122">
        <f t="shared" si="26"/>
        <v>0.46625</v>
      </c>
      <c r="M133" s="122">
        <f t="shared" si="27"/>
        <v>0.4849</v>
      </c>
      <c r="N133" s="122">
        <f t="shared" si="27"/>
        <v>0.4849</v>
      </c>
      <c r="O133" s="122">
        <f t="shared" si="28"/>
        <v>0.5222</v>
      </c>
      <c r="P133" s="122">
        <f t="shared" si="28"/>
        <v>0.5222</v>
      </c>
      <c r="Q133" s="122">
        <f t="shared" si="29"/>
        <v>0.5595</v>
      </c>
      <c r="R133" s="122">
        <f t="shared" si="29"/>
        <v>0.5595</v>
      </c>
      <c r="S133" s="198" t="s">
        <v>432</v>
      </c>
    </row>
    <row r="134" spans="1:28">
      <c r="A134" s="118" t="s">
        <v>267</v>
      </c>
      <c r="B134" s="118" t="s">
        <v>268</v>
      </c>
      <c r="C134" s="118" t="s">
        <v>268</v>
      </c>
      <c r="D134" s="127" t="s">
        <v>152</v>
      </c>
      <c r="E134" s="127" t="s">
        <v>152</v>
      </c>
      <c r="F134" s="118" t="s">
        <v>130</v>
      </c>
      <c r="G134" s="122">
        <v>0.38</v>
      </c>
      <c r="H134" s="122">
        <v>0.38</v>
      </c>
      <c r="I134" s="122">
        <f t="shared" si="25"/>
        <v>0.41800000000000004</v>
      </c>
      <c r="J134" s="122">
        <f t="shared" si="25"/>
        <v>0.41800000000000004</v>
      </c>
      <c r="K134" s="122">
        <f t="shared" si="26"/>
        <v>0.47499999999999998</v>
      </c>
      <c r="L134" s="122">
        <f t="shared" si="26"/>
        <v>0.47499999999999998</v>
      </c>
      <c r="M134" s="122">
        <f t="shared" si="27"/>
        <v>0.49400000000000005</v>
      </c>
      <c r="N134" s="122">
        <f t="shared" si="27"/>
        <v>0.49400000000000005</v>
      </c>
      <c r="O134" s="122">
        <f t="shared" si="28"/>
        <v>0.53199999999999992</v>
      </c>
      <c r="P134" s="122">
        <f t="shared" si="28"/>
        <v>0.53199999999999992</v>
      </c>
      <c r="Q134" s="122">
        <f t="shared" si="29"/>
        <v>0.57000000000000006</v>
      </c>
      <c r="R134" s="122">
        <f t="shared" si="29"/>
        <v>0.57000000000000006</v>
      </c>
      <c r="S134" s="119" t="s">
        <v>269</v>
      </c>
      <c r="T134" s="108"/>
      <c r="U134" s="108"/>
      <c r="V134" s="108"/>
      <c r="W134" s="108"/>
      <c r="X134" s="108"/>
      <c r="Y134" s="108"/>
      <c r="Z134" s="108"/>
      <c r="AA134" s="108"/>
      <c r="AB134" s="108"/>
    </row>
    <row r="135" spans="1:28">
      <c r="A135" s="118" t="s">
        <v>270</v>
      </c>
      <c r="B135" s="118" t="s">
        <v>124</v>
      </c>
      <c r="C135" s="118" t="s">
        <v>124</v>
      </c>
      <c r="D135" s="118" t="s">
        <v>105</v>
      </c>
      <c r="E135" s="118" t="s">
        <v>105</v>
      </c>
      <c r="F135" s="118" t="s">
        <v>130</v>
      </c>
      <c r="G135" s="122">
        <v>0.38900000000000001</v>
      </c>
      <c r="H135" s="122">
        <v>0.38900000000000001</v>
      </c>
      <c r="I135" s="122">
        <f t="shared" si="25"/>
        <v>0.42790000000000006</v>
      </c>
      <c r="J135" s="122">
        <f t="shared" si="25"/>
        <v>0.42790000000000006</v>
      </c>
      <c r="K135" s="122">
        <f t="shared" si="26"/>
        <v>0.48625000000000002</v>
      </c>
      <c r="L135" s="122">
        <f t="shared" si="26"/>
        <v>0.48625000000000002</v>
      </c>
      <c r="M135" s="122">
        <f t="shared" si="27"/>
        <v>0.50570000000000004</v>
      </c>
      <c r="N135" s="122">
        <f t="shared" si="27"/>
        <v>0.50570000000000004</v>
      </c>
      <c r="O135" s="122">
        <f t="shared" si="28"/>
        <v>0.54459999999999997</v>
      </c>
      <c r="P135" s="122">
        <f t="shared" si="28"/>
        <v>0.54459999999999997</v>
      </c>
      <c r="Q135" s="122">
        <f t="shared" si="29"/>
        <v>0.58350000000000002</v>
      </c>
      <c r="R135" s="122">
        <f t="shared" si="29"/>
        <v>0.58350000000000002</v>
      </c>
      <c r="S135" s="119" t="s">
        <v>271</v>
      </c>
      <c r="T135" s="108"/>
      <c r="U135" s="108"/>
      <c r="V135" s="108"/>
      <c r="W135" s="108"/>
      <c r="X135" s="108"/>
      <c r="Y135" s="108"/>
      <c r="Z135" s="108"/>
      <c r="AA135" s="108"/>
      <c r="AB135" s="108"/>
    </row>
    <row r="136" spans="1:28">
      <c r="A136" s="118" t="s">
        <v>272</v>
      </c>
      <c r="B136" s="118" t="s">
        <v>273</v>
      </c>
      <c r="C136" s="118" t="s">
        <v>273</v>
      </c>
      <c r="D136" s="118" t="s">
        <v>122</v>
      </c>
      <c r="E136" s="118" t="s">
        <v>122</v>
      </c>
      <c r="F136" s="118" t="s">
        <v>130</v>
      </c>
      <c r="G136" s="122">
        <v>0.4</v>
      </c>
      <c r="H136" s="122">
        <v>0.4</v>
      </c>
      <c r="I136" s="122">
        <f t="shared" si="25"/>
        <v>0.44000000000000006</v>
      </c>
      <c r="J136" s="122">
        <f t="shared" si="25"/>
        <v>0.44000000000000006</v>
      </c>
      <c r="K136" s="122">
        <f t="shared" si="26"/>
        <v>0.5</v>
      </c>
      <c r="L136" s="122">
        <f t="shared" si="26"/>
        <v>0.5</v>
      </c>
      <c r="M136" s="122">
        <f t="shared" si="27"/>
        <v>0.52</v>
      </c>
      <c r="N136" s="122">
        <f t="shared" si="27"/>
        <v>0.52</v>
      </c>
      <c r="O136" s="122">
        <f t="shared" si="28"/>
        <v>0.55999999999999994</v>
      </c>
      <c r="P136" s="122">
        <f t="shared" si="28"/>
        <v>0.55999999999999994</v>
      </c>
      <c r="Q136" s="122">
        <f t="shared" si="29"/>
        <v>0.60000000000000009</v>
      </c>
      <c r="R136" s="122">
        <f t="shared" si="29"/>
        <v>0.60000000000000009</v>
      </c>
      <c r="S136" s="119" t="s">
        <v>274</v>
      </c>
      <c r="T136" s="108"/>
      <c r="U136" s="108"/>
      <c r="V136" s="108"/>
      <c r="W136" s="108"/>
      <c r="X136" s="108"/>
      <c r="Y136" s="108"/>
      <c r="Z136" s="108"/>
      <c r="AA136" s="108"/>
      <c r="AB136" s="108"/>
    </row>
    <row r="137" spans="1:28">
      <c r="A137" s="118" t="s">
        <v>275</v>
      </c>
      <c r="B137" s="118" t="s">
        <v>276</v>
      </c>
      <c r="C137" s="118" t="s">
        <v>276</v>
      </c>
      <c r="D137" s="118" t="s">
        <v>169</v>
      </c>
      <c r="E137" s="118" t="s">
        <v>169</v>
      </c>
      <c r="F137" s="118" t="s">
        <v>130</v>
      </c>
      <c r="G137" s="122">
        <v>0.40500000000000003</v>
      </c>
      <c r="H137" s="122">
        <v>0.40500000000000003</v>
      </c>
      <c r="I137" s="122">
        <f t="shared" si="25"/>
        <v>0.44550000000000006</v>
      </c>
      <c r="J137" s="122">
        <f t="shared" si="25"/>
        <v>0.44550000000000006</v>
      </c>
      <c r="K137" s="122">
        <f t="shared" si="26"/>
        <v>0.50625000000000009</v>
      </c>
      <c r="L137" s="122">
        <f t="shared" si="26"/>
        <v>0.50625000000000009</v>
      </c>
      <c r="M137" s="122">
        <f t="shared" si="27"/>
        <v>0.52650000000000008</v>
      </c>
      <c r="N137" s="122">
        <f t="shared" si="27"/>
        <v>0.52650000000000008</v>
      </c>
      <c r="O137" s="122">
        <f t="shared" si="28"/>
        <v>0.56699999999999995</v>
      </c>
      <c r="P137" s="122">
        <f t="shared" si="28"/>
        <v>0.56699999999999995</v>
      </c>
      <c r="Q137" s="122">
        <f t="shared" si="29"/>
        <v>0.60750000000000004</v>
      </c>
      <c r="R137" s="122">
        <f t="shared" si="29"/>
        <v>0.60750000000000004</v>
      </c>
      <c r="S137" s="119" t="s">
        <v>277</v>
      </c>
      <c r="T137" s="108"/>
      <c r="U137" s="108"/>
      <c r="V137" s="108"/>
      <c r="W137" s="108"/>
      <c r="X137" s="108"/>
      <c r="Y137" s="108"/>
      <c r="Z137" s="108"/>
      <c r="AA137" s="108"/>
      <c r="AB137" s="108"/>
    </row>
    <row r="138" spans="1:28" ht="20">
      <c r="A138" s="118" t="s">
        <v>278</v>
      </c>
      <c r="B138" s="118" t="s">
        <v>172</v>
      </c>
      <c r="C138" s="118" t="s">
        <v>172</v>
      </c>
      <c r="D138" s="118" t="s">
        <v>213</v>
      </c>
      <c r="E138" s="118" t="s">
        <v>213</v>
      </c>
      <c r="F138" s="118" t="s">
        <v>130</v>
      </c>
      <c r="G138" s="122">
        <v>0.41</v>
      </c>
      <c r="H138" s="122">
        <v>0.41</v>
      </c>
      <c r="I138" s="122">
        <f t="shared" si="25"/>
        <v>0.45100000000000001</v>
      </c>
      <c r="J138" s="122">
        <f t="shared" si="25"/>
        <v>0.45100000000000001</v>
      </c>
      <c r="K138" s="122">
        <f t="shared" si="26"/>
        <v>0.51249999999999996</v>
      </c>
      <c r="L138" s="122">
        <f t="shared" si="26"/>
        <v>0.51249999999999996</v>
      </c>
      <c r="M138" s="122">
        <f t="shared" si="27"/>
        <v>0.53300000000000003</v>
      </c>
      <c r="N138" s="122">
        <f t="shared" si="27"/>
        <v>0.53300000000000003</v>
      </c>
      <c r="O138" s="122">
        <f t="shared" si="28"/>
        <v>0.57399999999999995</v>
      </c>
      <c r="P138" s="122">
        <f t="shared" si="28"/>
        <v>0.57399999999999995</v>
      </c>
      <c r="Q138" s="122">
        <f t="shared" si="29"/>
        <v>0.61499999999999999</v>
      </c>
      <c r="R138" s="122">
        <f t="shared" si="29"/>
        <v>0.61499999999999999</v>
      </c>
      <c r="S138" s="119" t="s">
        <v>429</v>
      </c>
      <c r="T138" s="108"/>
      <c r="U138" s="108"/>
      <c r="V138" s="108"/>
      <c r="W138" s="108"/>
      <c r="X138" s="108"/>
      <c r="Y138" s="108"/>
      <c r="Z138" s="108"/>
      <c r="AA138" s="108"/>
      <c r="AB138" s="108"/>
    </row>
    <row r="139" spans="1:28">
      <c r="A139" s="118" t="s">
        <v>279</v>
      </c>
      <c r="B139" s="118" t="s">
        <v>155</v>
      </c>
      <c r="C139" s="118" t="s">
        <v>155</v>
      </c>
      <c r="D139" s="118" t="s">
        <v>186</v>
      </c>
      <c r="E139" s="118" t="s">
        <v>186</v>
      </c>
      <c r="F139" s="118" t="s">
        <v>130</v>
      </c>
      <c r="G139" s="122">
        <v>0.441</v>
      </c>
      <c r="H139" s="122">
        <v>0.441</v>
      </c>
      <c r="I139" s="122">
        <f t="shared" si="25"/>
        <v>0.48510000000000003</v>
      </c>
      <c r="J139" s="122">
        <f t="shared" si="25"/>
        <v>0.48510000000000003</v>
      </c>
      <c r="K139" s="122">
        <f t="shared" si="26"/>
        <v>0.55125000000000002</v>
      </c>
      <c r="L139" s="122">
        <f t="shared" si="26"/>
        <v>0.55125000000000002</v>
      </c>
      <c r="M139" s="122">
        <f t="shared" si="27"/>
        <v>0.57330000000000003</v>
      </c>
      <c r="N139" s="122">
        <f t="shared" si="27"/>
        <v>0.57330000000000003</v>
      </c>
      <c r="O139" s="122">
        <f t="shared" si="28"/>
        <v>0.61739999999999995</v>
      </c>
      <c r="P139" s="122">
        <f t="shared" si="28"/>
        <v>0.61739999999999995</v>
      </c>
      <c r="Q139" s="122">
        <f t="shared" si="29"/>
        <v>0.66149999999999998</v>
      </c>
      <c r="R139" s="122">
        <f t="shared" si="29"/>
        <v>0.66149999999999998</v>
      </c>
      <c r="S139" s="119" t="s">
        <v>387</v>
      </c>
      <c r="T139" s="108"/>
      <c r="U139" s="108"/>
      <c r="V139" s="108"/>
      <c r="W139" s="108"/>
      <c r="X139" s="108"/>
      <c r="Y139" s="108"/>
      <c r="Z139" s="108"/>
      <c r="AA139" s="108"/>
      <c r="AB139" s="108"/>
    </row>
    <row r="140" spans="1:28">
      <c r="A140" s="118" t="s">
        <v>280</v>
      </c>
      <c r="B140" s="118" t="s">
        <v>146</v>
      </c>
      <c r="C140" s="118" t="s">
        <v>146</v>
      </c>
      <c r="D140" s="118" t="s">
        <v>128</v>
      </c>
      <c r="E140" s="118" t="s">
        <v>128</v>
      </c>
      <c r="F140" s="118" t="s">
        <v>130</v>
      </c>
      <c r="G140" s="122">
        <v>0.432</v>
      </c>
      <c r="H140" s="122">
        <v>0.432</v>
      </c>
      <c r="I140" s="122">
        <f t="shared" si="25"/>
        <v>0.47520000000000001</v>
      </c>
      <c r="J140" s="122">
        <f t="shared" si="25"/>
        <v>0.47520000000000001</v>
      </c>
      <c r="K140" s="122">
        <f t="shared" si="26"/>
        <v>0.54</v>
      </c>
      <c r="L140" s="122">
        <f t="shared" si="26"/>
        <v>0.54</v>
      </c>
      <c r="M140" s="122">
        <f t="shared" si="27"/>
        <v>0.56159999999999999</v>
      </c>
      <c r="N140" s="122">
        <f t="shared" si="27"/>
        <v>0.56159999999999999</v>
      </c>
      <c r="O140" s="122">
        <f t="shared" si="28"/>
        <v>0.6048</v>
      </c>
      <c r="P140" s="122">
        <f t="shared" si="28"/>
        <v>0.6048</v>
      </c>
      <c r="Q140" s="122">
        <f t="shared" si="29"/>
        <v>0.64800000000000002</v>
      </c>
      <c r="R140" s="122">
        <f t="shared" si="29"/>
        <v>0.64800000000000002</v>
      </c>
      <c r="S140" s="119" t="s">
        <v>281</v>
      </c>
      <c r="T140" s="108"/>
      <c r="U140" s="108"/>
      <c r="V140" s="108"/>
      <c r="W140" s="108"/>
      <c r="X140" s="108"/>
      <c r="Y140" s="108"/>
      <c r="Z140" s="108"/>
      <c r="AA140" s="108"/>
      <c r="AB140" s="108"/>
    </row>
    <row r="142" spans="1:28">
      <c r="A142" s="118" t="s">
        <v>103</v>
      </c>
      <c r="G142" s="119"/>
      <c r="T142" s="108"/>
      <c r="U142" s="108"/>
      <c r="V142" s="108"/>
      <c r="W142" s="108"/>
      <c r="X142" s="108"/>
      <c r="Y142" s="108"/>
      <c r="Z142" s="108"/>
      <c r="AA142" s="108"/>
      <c r="AB142" s="108"/>
    </row>
    <row r="143" spans="1:28">
      <c r="A143" s="120" t="s">
        <v>282</v>
      </c>
      <c r="G143" s="122"/>
      <c r="T143" s="108"/>
      <c r="U143" s="108"/>
      <c r="V143" s="108"/>
      <c r="W143" s="108"/>
      <c r="X143" s="108"/>
      <c r="Y143" s="108"/>
      <c r="Z143" s="108"/>
      <c r="AA143" s="108"/>
      <c r="AB143" s="108"/>
    </row>
    <row r="144" spans="1:28">
      <c r="A144" s="118" t="s">
        <v>283</v>
      </c>
      <c r="B144" s="118" t="s">
        <v>144</v>
      </c>
      <c r="C144" s="118" t="s">
        <v>144</v>
      </c>
      <c r="D144" s="118" t="s">
        <v>183</v>
      </c>
      <c r="E144" s="118" t="s">
        <v>183</v>
      </c>
      <c r="F144" s="118" t="s">
        <v>130</v>
      </c>
      <c r="G144" s="122">
        <v>0.30399999999999999</v>
      </c>
      <c r="H144" s="122">
        <v>0.28499999999999998</v>
      </c>
      <c r="I144" s="122">
        <f t="shared" ref="I144:J178" si="30">$I$6*G144</f>
        <v>0.33440000000000003</v>
      </c>
      <c r="J144" s="122">
        <f t="shared" si="30"/>
        <v>0.3135</v>
      </c>
      <c r="K144" s="122">
        <f t="shared" ref="K144:L178" si="31">$K$6*G144</f>
        <v>0.38</v>
      </c>
      <c r="L144" s="122">
        <f t="shared" si="31"/>
        <v>0.35624999999999996</v>
      </c>
      <c r="M144" s="122">
        <f t="shared" ref="M144:N178" si="32">$M$6*G144</f>
        <v>0.3952</v>
      </c>
      <c r="N144" s="122">
        <f t="shared" si="32"/>
        <v>0.3705</v>
      </c>
      <c r="O144" s="122">
        <f t="shared" ref="O144:P178" si="33">$O$6*G144</f>
        <v>0.42559999999999998</v>
      </c>
      <c r="P144" s="122">
        <f t="shared" si="33"/>
        <v>0.39899999999999997</v>
      </c>
      <c r="Q144" s="122">
        <f t="shared" ref="Q144:R178" si="34">$Q$6*G144</f>
        <v>0.45599999999999996</v>
      </c>
      <c r="R144" s="122">
        <f t="shared" si="34"/>
        <v>0.42749999999999999</v>
      </c>
      <c r="S144" s="119" t="s">
        <v>284</v>
      </c>
      <c r="T144" s="108"/>
      <c r="U144" s="108"/>
      <c r="V144" s="108"/>
      <c r="W144" s="108"/>
      <c r="X144" s="108"/>
      <c r="Y144" s="108"/>
      <c r="Z144" s="108"/>
      <c r="AA144" s="108"/>
      <c r="AB144" s="108"/>
    </row>
    <row r="145" spans="1:28">
      <c r="A145" s="118" t="s">
        <v>285</v>
      </c>
      <c r="B145" s="118" t="s">
        <v>286</v>
      </c>
      <c r="C145" s="118" t="s">
        <v>286</v>
      </c>
      <c r="D145" s="118" t="s">
        <v>187</v>
      </c>
      <c r="E145" s="118" t="s">
        <v>187</v>
      </c>
      <c r="F145" s="118" t="s">
        <v>130</v>
      </c>
      <c r="G145" s="122">
        <v>0.25380000000000003</v>
      </c>
      <c r="H145" s="122">
        <v>0.25380000000000003</v>
      </c>
      <c r="I145" s="122">
        <f t="shared" si="30"/>
        <v>0.27918000000000004</v>
      </c>
      <c r="J145" s="122">
        <f t="shared" si="30"/>
        <v>0.27918000000000004</v>
      </c>
      <c r="K145" s="122">
        <f t="shared" si="31"/>
        <v>0.31725000000000003</v>
      </c>
      <c r="L145" s="122">
        <f t="shared" si="31"/>
        <v>0.31725000000000003</v>
      </c>
      <c r="M145" s="122">
        <f t="shared" si="32"/>
        <v>0.32994000000000007</v>
      </c>
      <c r="N145" s="122">
        <f t="shared" si="32"/>
        <v>0.32994000000000007</v>
      </c>
      <c r="O145" s="122">
        <f t="shared" si="33"/>
        <v>0.35532000000000002</v>
      </c>
      <c r="P145" s="122">
        <f t="shared" si="33"/>
        <v>0.35532000000000002</v>
      </c>
      <c r="Q145" s="122">
        <f t="shared" si="34"/>
        <v>0.38070000000000004</v>
      </c>
      <c r="R145" s="122">
        <f t="shared" si="34"/>
        <v>0.38070000000000004</v>
      </c>
      <c r="S145" s="119" t="s">
        <v>426</v>
      </c>
      <c r="T145" s="108"/>
      <c r="U145" s="108"/>
      <c r="V145" s="108"/>
      <c r="W145" s="108"/>
      <c r="X145" s="108"/>
      <c r="Y145" s="108"/>
      <c r="Z145" s="108"/>
      <c r="AA145" s="108"/>
      <c r="AB145" s="108"/>
    </row>
    <row r="146" spans="1:28" ht="20">
      <c r="A146" s="118">
        <v>73</v>
      </c>
      <c r="B146" s="118" t="s">
        <v>128</v>
      </c>
      <c r="C146" s="118" t="s">
        <v>128</v>
      </c>
      <c r="D146" s="118" t="s">
        <v>286</v>
      </c>
      <c r="E146" s="118" t="s">
        <v>286</v>
      </c>
      <c r="F146" s="118" t="s">
        <v>130</v>
      </c>
      <c r="G146" s="122">
        <v>0.38729999999999998</v>
      </c>
      <c r="H146" s="122">
        <v>0.38729999999999998</v>
      </c>
      <c r="I146" s="122">
        <f t="shared" si="30"/>
        <v>0.42603000000000002</v>
      </c>
      <c r="J146" s="122">
        <f t="shared" si="30"/>
        <v>0.42603000000000002</v>
      </c>
      <c r="K146" s="122">
        <f t="shared" si="31"/>
        <v>0.48412499999999997</v>
      </c>
      <c r="L146" s="122">
        <f t="shared" si="31"/>
        <v>0.48412499999999997</v>
      </c>
      <c r="M146" s="122">
        <f t="shared" si="32"/>
        <v>0.50348999999999999</v>
      </c>
      <c r="N146" s="122">
        <f t="shared" si="32"/>
        <v>0.50348999999999999</v>
      </c>
      <c r="O146" s="122">
        <f t="shared" si="33"/>
        <v>0.54221999999999992</v>
      </c>
      <c r="P146" s="122">
        <f t="shared" si="33"/>
        <v>0.54221999999999992</v>
      </c>
      <c r="Q146" s="122">
        <f t="shared" si="34"/>
        <v>0.58094999999999997</v>
      </c>
      <c r="R146" s="122">
        <f t="shared" si="34"/>
        <v>0.58094999999999997</v>
      </c>
      <c r="S146" s="119" t="s">
        <v>430</v>
      </c>
      <c r="T146" s="108"/>
      <c r="U146" s="108"/>
      <c r="V146" s="108"/>
      <c r="W146" s="108"/>
      <c r="X146" s="108"/>
      <c r="Y146" s="108"/>
      <c r="Z146" s="108"/>
      <c r="AA146" s="108"/>
      <c r="AB146" s="108"/>
    </row>
    <row r="147" spans="1:28">
      <c r="A147" s="128" t="s">
        <v>287</v>
      </c>
      <c r="B147" s="118" t="s">
        <v>128</v>
      </c>
      <c r="C147" s="118" t="s">
        <v>40</v>
      </c>
      <c r="D147" s="118" t="s">
        <v>286</v>
      </c>
      <c r="E147" s="118" t="s">
        <v>113</v>
      </c>
      <c r="F147" s="118" t="s">
        <v>130</v>
      </c>
      <c r="G147" s="122">
        <v>0.38729999999999998</v>
      </c>
      <c r="H147" s="122">
        <v>0.38450000000000001</v>
      </c>
      <c r="I147" s="122">
        <f t="shared" si="30"/>
        <v>0.42603000000000002</v>
      </c>
      <c r="J147" s="122">
        <f t="shared" si="30"/>
        <v>0.42295000000000005</v>
      </c>
      <c r="K147" s="122">
        <f t="shared" si="31"/>
        <v>0.48412499999999997</v>
      </c>
      <c r="L147" s="122">
        <f t="shared" si="31"/>
        <v>0.48062500000000002</v>
      </c>
      <c r="M147" s="122">
        <f t="shared" si="32"/>
        <v>0.50348999999999999</v>
      </c>
      <c r="N147" s="122">
        <f t="shared" si="32"/>
        <v>0.49985000000000002</v>
      </c>
      <c r="O147" s="122">
        <f t="shared" si="33"/>
        <v>0.54221999999999992</v>
      </c>
      <c r="P147" s="122">
        <f t="shared" si="33"/>
        <v>0.5383</v>
      </c>
      <c r="Q147" s="122">
        <f t="shared" si="34"/>
        <v>0.58094999999999997</v>
      </c>
      <c r="R147" s="122">
        <f t="shared" si="34"/>
        <v>0.57674999999999998</v>
      </c>
      <c r="S147" s="119" t="s">
        <v>288</v>
      </c>
      <c r="T147" s="108"/>
      <c r="U147" s="108"/>
      <c r="V147" s="108"/>
      <c r="W147" s="108"/>
      <c r="X147" s="108"/>
      <c r="Y147" s="108"/>
      <c r="Z147" s="108"/>
      <c r="AA147" s="108"/>
      <c r="AB147" s="108"/>
    </row>
    <row r="148" spans="1:28">
      <c r="A148" s="118">
        <v>86</v>
      </c>
      <c r="B148" s="118" t="s">
        <v>40</v>
      </c>
      <c r="C148" s="118" t="s">
        <v>40</v>
      </c>
      <c r="D148" s="118" t="s">
        <v>113</v>
      </c>
      <c r="E148" s="118" t="s">
        <v>113</v>
      </c>
      <c r="F148" s="118" t="s">
        <v>130</v>
      </c>
      <c r="G148" s="122">
        <v>0.32540000000000002</v>
      </c>
      <c r="H148" s="122">
        <v>0.32540000000000002</v>
      </c>
      <c r="I148" s="122">
        <f t="shared" si="30"/>
        <v>0.35794000000000004</v>
      </c>
      <c r="J148" s="122">
        <f t="shared" si="30"/>
        <v>0.35794000000000004</v>
      </c>
      <c r="K148" s="122">
        <f t="shared" si="31"/>
        <v>0.40675000000000006</v>
      </c>
      <c r="L148" s="122">
        <f t="shared" si="31"/>
        <v>0.40675000000000006</v>
      </c>
      <c r="M148" s="122">
        <f t="shared" si="32"/>
        <v>0.42302000000000006</v>
      </c>
      <c r="N148" s="122">
        <f t="shared" si="32"/>
        <v>0.42302000000000006</v>
      </c>
      <c r="O148" s="122">
        <f t="shared" si="33"/>
        <v>0.45556000000000002</v>
      </c>
      <c r="P148" s="122">
        <f t="shared" si="33"/>
        <v>0.45556000000000002</v>
      </c>
      <c r="Q148" s="122">
        <f t="shared" si="34"/>
        <v>0.48810000000000003</v>
      </c>
      <c r="R148" s="122">
        <f t="shared" si="34"/>
        <v>0.48810000000000003</v>
      </c>
      <c r="S148" s="119" t="s">
        <v>406</v>
      </c>
      <c r="T148" s="108"/>
      <c r="U148" s="108"/>
      <c r="V148" s="108"/>
      <c r="W148" s="108"/>
      <c r="X148" s="108"/>
      <c r="Y148" s="108"/>
      <c r="Z148" s="108"/>
      <c r="AA148" s="108"/>
      <c r="AB148" s="108"/>
    </row>
    <row r="149" spans="1:28" s="361" customFormat="1">
      <c r="A149" s="197" t="s">
        <v>289</v>
      </c>
      <c r="B149" s="197" t="s">
        <v>116</v>
      </c>
      <c r="C149" s="197" t="s">
        <v>116</v>
      </c>
      <c r="D149" s="197" t="s">
        <v>117</v>
      </c>
      <c r="E149" s="197" t="s">
        <v>117</v>
      </c>
      <c r="F149" s="197" t="s">
        <v>130</v>
      </c>
      <c r="G149" s="122">
        <v>0.33460000000000001</v>
      </c>
      <c r="H149" s="122">
        <v>0.33460000000000001</v>
      </c>
      <c r="I149" s="122">
        <f t="shared" si="30"/>
        <v>0.36806000000000005</v>
      </c>
      <c r="J149" s="122">
        <f t="shared" si="30"/>
        <v>0.36806000000000005</v>
      </c>
      <c r="K149" s="122">
        <f t="shared" si="31"/>
        <v>0.41825000000000001</v>
      </c>
      <c r="L149" s="122">
        <f t="shared" si="31"/>
        <v>0.41825000000000001</v>
      </c>
      <c r="M149" s="122">
        <f t="shared" si="32"/>
        <v>0.43498000000000003</v>
      </c>
      <c r="N149" s="122">
        <f t="shared" si="32"/>
        <v>0.43498000000000003</v>
      </c>
      <c r="O149" s="122">
        <f t="shared" si="33"/>
        <v>0.46843999999999997</v>
      </c>
      <c r="P149" s="122">
        <f t="shared" si="33"/>
        <v>0.46843999999999997</v>
      </c>
      <c r="Q149" s="122">
        <f t="shared" si="34"/>
        <v>0.50190000000000001</v>
      </c>
      <c r="R149" s="122">
        <f t="shared" si="34"/>
        <v>0.50190000000000001</v>
      </c>
      <c r="S149" s="196" t="s">
        <v>388</v>
      </c>
    </row>
    <row r="150" spans="1:28" s="361" customFormat="1">
      <c r="A150" s="197" t="s">
        <v>290</v>
      </c>
      <c r="B150" s="197" t="s">
        <v>149</v>
      </c>
      <c r="C150" s="197" t="s">
        <v>149</v>
      </c>
      <c r="D150" s="197" t="s">
        <v>108</v>
      </c>
      <c r="E150" s="197" t="s">
        <v>108</v>
      </c>
      <c r="F150" s="197" t="s">
        <v>130</v>
      </c>
      <c r="G150" s="122">
        <v>0.3846</v>
      </c>
      <c r="H150" s="122">
        <v>0.3846</v>
      </c>
      <c r="I150" s="122">
        <f t="shared" si="30"/>
        <v>0.42306000000000005</v>
      </c>
      <c r="J150" s="122">
        <f t="shared" si="30"/>
        <v>0.42306000000000005</v>
      </c>
      <c r="K150" s="122">
        <f t="shared" si="31"/>
        <v>0.48075000000000001</v>
      </c>
      <c r="L150" s="122">
        <f t="shared" si="31"/>
        <v>0.48075000000000001</v>
      </c>
      <c r="M150" s="122">
        <f t="shared" si="32"/>
        <v>0.49998000000000004</v>
      </c>
      <c r="N150" s="122">
        <f t="shared" si="32"/>
        <v>0.49998000000000004</v>
      </c>
      <c r="O150" s="122">
        <f t="shared" si="33"/>
        <v>0.53843999999999992</v>
      </c>
      <c r="P150" s="122">
        <f t="shared" si="33"/>
        <v>0.53843999999999992</v>
      </c>
      <c r="Q150" s="122">
        <f t="shared" si="34"/>
        <v>0.57689999999999997</v>
      </c>
      <c r="R150" s="122">
        <f t="shared" si="34"/>
        <v>0.57689999999999997</v>
      </c>
      <c r="S150" s="196" t="s">
        <v>389</v>
      </c>
    </row>
    <row r="151" spans="1:28">
      <c r="A151" s="118" t="s">
        <v>291</v>
      </c>
      <c r="B151" s="118" t="s">
        <v>176</v>
      </c>
      <c r="C151" s="118" t="s">
        <v>176</v>
      </c>
      <c r="D151" s="118" t="s">
        <v>122</v>
      </c>
      <c r="E151" s="118" t="s">
        <v>122</v>
      </c>
      <c r="F151" s="118" t="s">
        <v>130</v>
      </c>
      <c r="G151" s="122">
        <v>0.39</v>
      </c>
      <c r="H151" s="122">
        <v>0.39</v>
      </c>
      <c r="I151" s="122">
        <f t="shared" si="30"/>
        <v>0.42900000000000005</v>
      </c>
      <c r="J151" s="122">
        <f t="shared" si="30"/>
        <v>0.42900000000000005</v>
      </c>
      <c r="K151" s="122">
        <f t="shared" si="31"/>
        <v>0.48750000000000004</v>
      </c>
      <c r="L151" s="122">
        <f t="shared" si="31"/>
        <v>0.48750000000000004</v>
      </c>
      <c r="M151" s="122">
        <f t="shared" si="32"/>
        <v>0.50700000000000001</v>
      </c>
      <c r="N151" s="122">
        <f t="shared" si="32"/>
        <v>0.50700000000000001</v>
      </c>
      <c r="O151" s="122">
        <f t="shared" si="33"/>
        <v>0.54599999999999993</v>
      </c>
      <c r="P151" s="122">
        <f t="shared" si="33"/>
        <v>0.54599999999999993</v>
      </c>
      <c r="Q151" s="122">
        <f t="shared" si="34"/>
        <v>0.58499999999999996</v>
      </c>
      <c r="R151" s="122">
        <f t="shared" si="34"/>
        <v>0.58499999999999996</v>
      </c>
      <c r="S151" s="119" t="s">
        <v>292</v>
      </c>
      <c r="T151" s="108"/>
      <c r="U151" s="108"/>
      <c r="V151" s="108"/>
      <c r="W151" s="108"/>
      <c r="X151" s="108"/>
      <c r="Y151" s="108"/>
      <c r="Z151" s="108"/>
      <c r="AA151" s="108"/>
      <c r="AB151" s="108"/>
    </row>
    <row r="152" spans="1:28">
      <c r="A152" s="118" t="s">
        <v>293</v>
      </c>
      <c r="B152" s="118" t="s">
        <v>149</v>
      </c>
      <c r="C152" s="118" t="s">
        <v>176</v>
      </c>
      <c r="D152" s="118" t="s">
        <v>108</v>
      </c>
      <c r="E152" s="118" t="s">
        <v>122</v>
      </c>
      <c r="F152" s="118" t="s">
        <v>130</v>
      </c>
      <c r="G152" s="122">
        <v>0.3846</v>
      </c>
      <c r="H152" s="122">
        <v>0.39</v>
      </c>
      <c r="I152" s="122">
        <f t="shared" si="30"/>
        <v>0.42306000000000005</v>
      </c>
      <c r="J152" s="122">
        <f t="shared" si="30"/>
        <v>0.42900000000000005</v>
      </c>
      <c r="K152" s="122">
        <f t="shared" si="31"/>
        <v>0.48075000000000001</v>
      </c>
      <c r="L152" s="122">
        <f t="shared" si="31"/>
        <v>0.48750000000000004</v>
      </c>
      <c r="M152" s="122">
        <f t="shared" si="32"/>
        <v>0.49998000000000004</v>
      </c>
      <c r="N152" s="122">
        <f t="shared" si="32"/>
        <v>0.50700000000000001</v>
      </c>
      <c r="O152" s="122">
        <f t="shared" si="33"/>
        <v>0.53843999999999992</v>
      </c>
      <c r="P152" s="122">
        <f t="shared" si="33"/>
        <v>0.54599999999999993</v>
      </c>
      <c r="Q152" s="122">
        <f t="shared" si="34"/>
        <v>0.57689999999999997</v>
      </c>
      <c r="R152" s="122">
        <f t="shared" si="34"/>
        <v>0.58499999999999996</v>
      </c>
      <c r="S152" s="119" t="s">
        <v>390</v>
      </c>
      <c r="T152" s="108"/>
      <c r="U152" s="108"/>
      <c r="V152" s="108"/>
      <c r="W152" s="108"/>
      <c r="X152" s="108"/>
      <c r="Y152" s="108"/>
      <c r="Z152" s="108"/>
      <c r="AA152" s="108"/>
      <c r="AB152" s="108"/>
    </row>
    <row r="153" spans="1:28">
      <c r="A153" s="118">
        <v>91</v>
      </c>
      <c r="B153" s="118" t="s">
        <v>294</v>
      </c>
      <c r="C153" s="118" t="s">
        <v>294</v>
      </c>
      <c r="D153" s="118" t="s">
        <v>113</v>
      </c>
      <c r="E153" s="118" t="s">
        <v>113</v>
      </c>
      <c r="F153" s="118" t="s">
        <v>130</v>
      </c>
      <c r="G153" s="122">
        <v>0.33079999999999998</v>
      </c>
      <c r="H153" s="122">
        <v>0.33079999999999998</v>
      </c>
      <c r="I153" s="122">
        <f t="shared" si="30"/>
        <v>0.36388000000000004</v>
      </c>
      <c r="J153" s="122">
        <f t="shared" si="30"/>
        <v>0.36388000000000004</v>
      </c>
      <c r="K153" s="122">
        <f t="shared" si="31"/>
        <v>0.41349999999999998</v>
      </c>
      <c r="L153" s="122">
        <f t="shared" si="31"/>
        <v>0.41349999999999998</v>
      </c>
      <c r="M153" s="122">
        <f t="shared" si="32"/>
        <v>0.43003999999999998</v>
      </c>
      <c r="N153" s="122">
        <f t="shared" si="32"/>
        <v>0.43003999999999998</v>
      </c>
      <c r="O153" s="122">
        <f t="shared" si="33"/>
        <v>0.46311999999999992</v>
      </c>
      <c r="P153" s="122">
        <f t="shared" si="33"/>
        <v>0.46311999999999992</v>
      </c>
      <c r="Q153" s="122">
        <f t="shared" si="34"/>
        <v>0.49619999999999997</v>
      </c>
      <c r="R153" s="122">
        <f t="shared" si="34"/>
        <v>0.49619999999999997</v>
      </c>
      <c r="S153" s="119" t="s">
        <v>295</v>
      </c>
      <c r="T153" s="108"/>
      <c r="U153" s="108"/>
      <c r="V153" s="108"/>
      <c r="W153" s="108"/>
      <c r="X153" s="108"/>
      <c r="Y153" s="108"/>
      <c r="Z153" s="108"/>
      <c r="AA153" s="108"/>
      <c r="AB153" s="108"/>
    </row>
    <row r="154" spans="1:28">
      <c r="A154" s="118" t="s">
        <v>296</v>
      </c>
      <c r="B154" s="118" t="s">
        <v>297</v>
      </c>
      <c r="C154" s="118" t="s">
        <v>297</v>
      </c>
      <c r="D154" s="118" t="s">
        <v>298</v>
      </c>
      <c r="E154" s="118" t="s">
        <v>298</v>
      </c>
      <c r="F154" s="118" t="s">
        <v>130</v>
      </c>
      <c r="G154" s="122">
        <v>0.33079999999999998</v>
      </c>
      <c r="H154" s="122">
        <v>0.33079999999999998</v>
      </c>
      <c r="I154" s="122">
        <f t="shared" si="30"/>
        <v>0.36388000000000004</v>
      </c>
      <c r="J154" s="122">
        <f t="shared" si="30"/>
        <v>0.36388000000000004</v>
      </c>
      <c r="K154" s="122">
        <f t="shared" si="31"/>
        <v>0.41349999999999998</v>
      </c>
      <c r="L154" s="122">
        <f t="shared" si="31"/>
        <v>0.41349999999999998</v>
      </c>
      <c r="M154" s="122">
        <f t="shared" si="32"/>
        <v>0.43003999999999998</v>
      </c>
      <c r="N154" s="122">
        <f t="shared" si="32"/>
        <v>0.43003999999999998</v>
      </c>
      <c r="O154" s="122">
        <f t="shared" si="33"/>
        <v>0.46311999999999992</v>
      </c>
      <c r="P154" s="122">
        <f t="shared" si="33"/>
        <v>0.46311999999999992</v>
      </c>
      <c r="Q154" s="122">
        <f t="shared" si="34"/>
        <v>0.49619999999999997</v>
      </c>
      <c r="R154" s="122">
        <f t="shared" si="34"/>
        <v>0.49619999999999997</v>
      </c>
      <c r="S154" s="119" t="s">
        <v>400</v>
      </c>
      <c r="T154" s="108"/>
      <c r="U154" s="108"/>
      <c r="V154" s="108"/>
      <c r="W154" s="108"/>
      <c r="X154" s="108"/>
      <c r="Y154" s="108"/>
      <c r="Z154" s="108"/>
      <c r="AA154" s="108"/>
      <c r="AB154" s="108"/>
    </row>
    <row r="155" spans="1:28">
      <c r="A155" s="127">
        <v>109</v>
      </c>
      <c r="B155" s="118" t="s">
        <v>146</v>
      </c>
      <c r="C155" s="118" t="s">
        <v>146</v>
      </c>
      <c r="D155" s="118" t="s">
        <v>108</v>
      </c>
      <c r="E155" s="118" t="s">
        <v>108</v>
      </c>
      <c r="F155" s="118" t="s">
        <v>130</v>
      </c>
      <c r="G155" s="122">
        <v>0.42299999999999999</v>
      </c>
      <c r="H155" s="122">
        <v>0.42299999999999999</v>
      </c>
      <c r="I155" s="122">
        <f t="shared" si="30"/>
        <v>0.46530000000000005</v>
      </c>
      <c r="J155" s="122">
        <f t="shared" si="30"/>
        <v>0.46530000000000005</v>
      </c>
      <c r="K155" s="122">
        <f t="shared" si="31"/>
        <v>0.52874999999999994</v>
      </c>
      <c r="L155" s="122">
        <f t="shared" si="31"/>
        <v>0.52874999999999994</v>
      </c>
      <c r="M155" s="122">
        <f t="shared" si="32"/>
        <v>0.54990000000000006</v>
      </c>
      <c r="N155" s="122">
        <f t="shared" si="32"/>
        <v>0.54990000000000006</v>
      </c>
      <c r="O155" s="122">
        <f t="shared" si="33"/>
        <v>0.59219999999999995</v>
      </c>
      <c r="P155" s="122">
        <f t="shared" si="33"/>
        <v>0.59219999999999995</v>
      </c>
      <c r="Q155" s="122">
        <f t="shared" si="34"/>
        <v>0.63449999999999995</v>
      </c>
      <c r="R155" s="122">
        <f t="shared" si="34"/>
        <v>0.63449999999999995</v>
      </c>
      <c r="S155" s="119" t="s">
        <v>401</v>
      </c>
      <c r="T155" s="108"/>
      <c r="U155" s="108"/>
      <c r="V155" s="108"/>
      <c r="W155" s="108"/>
      <c r="X155" s="108"/>
      <c r="Y155" s="108"/>
      <c r="Z155" s="108"/>
      <c r="AA155" s="108"/>
      <c r="AB155" s="108"/>
    </row>
    <row r="156" spans="1:28">
      <c r="A156" s="128" t="s">
        <v>299</v>
      </c>
      <c r="B156" s="118" t="s">
        <v>146</v>
      </c>
      <c r="C156" s="118" t="s">
        <v>111</v>
      </c>
      <c r="D156" s="118" t="s">
        <v>108</v>
      </c>
      <c r="E156" s="118" t="s">
        <v>300</v>
      </c>
      <c r="F156" s="118" t="s">
        <v>130</v>
      </c>
      <c r="G156" s="122">
        <v>0.42299999999999999</v>
      </c>
      <c r="H156" s="122">
        <v>0.38400000000000001</v>
      </c>
      <c r="I156" s="122">
        <f t="shared" si="30"/>
        <v>0.46530000000000005</v>
      </c>
      <c r="J156" s="122">
        <f t="shared" si="30"/>
        <v>0.42240000000000005</v>
      </c>
      <c r="K156" s="122">
        <f t="shared" si="31"/>
        <v>0.52874999999999994</v>
      </c>
      <c r="L156" s="122">
        <f t="shared" si="31"/>
        <v>0.48</v>
      </c>
      <c r="M156" s="122">
        <f t="shared" si="32"/>
        <v>0.54990000000000006</v>
      </c>
      <c r="N156" s="122">
        <f t="shared" si="32"/>
        <v>0.49920000000000003</v>
      </c>
      <c r="O156" s="122">
        <f t="shared" si="33"/>
        <v>0.59219999999999995</v>
      </c>
      <c r="P156" s="122">
        <f t="shared" si="33"/>
        <v>0.53759999999999997</v>
      </c>
      <c r="Q156" s="122">
        <f t="shared" si="34"/>
        <v>0.63449999999999995</v>
      </c>
      <c r="R156" s="122">
        <f t="shared" si="34"/>
        <v>0.57600000000000007</v>
      </c>
      <c r="S156" s="119" t="s">
        <v>397</v>
      </c>
      <c r="T156" s="108"/>
      <c r="U156" s="108"/>
      <c r="V156" s="108"/>
      <c r="W156" s="108"/>
      <c r="X156" s="108"/>
      <c r="Y156" s="108"/>
      <c r="Z156" s="108"/>
      <c r="AA156" s="108"/>
      <c r="AB156" s="108"/>
    </row>
    <row r="157" spans="1:28">
      <c r="A157" s="128" t="s">
        <v>301</v>
      </c>
      <c r="B157" s="118" t="s">
        <v>146</v>
      </c>
      <c r="C157" s="118" t="s">
        <v>146</v>
      </c>
      <c r="D157" s="118" t="s">
        <v>108</v>
      </c>
      <c r="E157" s="118" t="s">
        <v>108</v>
      </c>
      <c r="F157" s="118" t="s">
        <v>130</v>
      </c>
      <c r="G157" s="122">
        <v>0.42299999999999999</v>
      </c>
      <c r="H157" s="122">
        <v>0.42299999999999999</v>
      </c>
      <c r="I157" s="122">
        <f t="shared" si="30"/>
        <v>0.46530000000000005</v>
      </c>
      <c r="J157" s="122">
        <f t="shared" si="30"/>
        <v>0.46530000000000005</v>
      </c>
      <c r="K157" s="122">
        <f t="shared" si="31"/>
        <v>0.52874999999999994</v>
      </c>
      <c r="L157" s="122">
        <f t="shared" si="31"/>
        <v>0.52874999999999994</v>
      </c>
      <c r="M157" s="122">
        <f t="shared" si="32"/>
        <v>0.54990000000000006</v>
      </c>
      <c r="N157" s="122">
        <f t="shared" si="32"/>
        <v>0.54990000000000006</v>
      </c>
      <c r="O157" s="122">
        <f t="shared" si="33"/>
        <v>0.59219999999999995</v>
      </c>
      <c r="P157" s="122">
        <f t="shared" si="33"/>
        <v>0.59219999999999995</v>
      </c>
      <c r="Q157" s="122">
        <f t="shared" si="34"/>
        <v>0.63449999999999995</v>
      </c>
      <c r="R157" s="122">
        <f t="shared" si="34"/>
        <v>0.63449999999999995</v>
      </c>
      <c r="S157" s="119" t="s">
        <v>424</v>
      </c>
      <c r="T157" s="108"/>
      <c r="U157" s="108"/>
      <c r="V157" s="108"/>
      <c r="W157" s="108"/>
      <c r="X157" s="108"/>
      <c r="Y157" s="108"/>
      <c r="Z157" s="108"/>
      <c r="AA157" s="108"/>
      <c r="AB157" s="108"/>
    </row>
    <row r="158" spans="1:28" s="361" customFormat="1">
      <c r="A158" s="197">
        <v>110</v>
      </c>
      <c r="B158" s="197" t="s">
        <v>112</v>
      </c>
      <c r="C158" s="197" t="s">
        <v>112</v>
      </c>
      <c r="D158" s="197" t="s">
        <v>147</v>
      </c>
      <c r="E158" s="197" t="s">
        <v>147</v>
      </c>
      <c r="F158" s="197" t="s">
        <v>130</v>
      </c>
      <c r="G158" s="122">
        <v>0.39500000000000002</v>
      </c>
      <c r="H158" s="122">
        <v>0.39500000000000002</v>
      </c>
      <c r="I158" s="122">
        <f t="shared" si="30"/>
        <v>0.43450000000000005</v>
      </c>
      <c r="J158" s="122">
        <f t="shared" si="30"/>
        <v>0.43450000000000005</v>
      </c>
      <c r="K158" s="122">
        <f t="shared" si="31"/>
        <v>0.49375000000000002</v>
      </c>
      <c r="L158" s="122">
        <f t="shared" si="31"/>
        <v>0.49375000000000002</v>
      </c>
      <c r="M158" s="122">
        <f t="shared" si="32"/>
        <v>0.51350000000000007</v>
      </c>
      <c r="N158" s="122">
        <f t="shared" si="32"/>
        <v>0.51350000000000007</v>
      </c>
      <c r="O158" s="122">
        <f t="shared" si="33"/>
        <v>0.55299999999999994</v>
      </c>
      <c r="P158" s="122">
        <f t="shared" si="33"/>
        <v>0.55299999999999994</v>
      </c>
      <c r="Q158" s="122">
        <f t="shared" si="34"/>
        <v>0.59250000000000003</v>
      </c>
      <c r="R158" s="122">
        <f t="shared" si="34"/>
        <v>0.59250000000000003</v>
      </c>
      <c r="S158" s="196" t="s">
        <v>302</v>
      </c>
    </row>
    <row r="159" spans="1:28">
      <c r="A159" s="128" t="s">
        <v>303</v>
      </c>
      <c r="B159" s="118" t="s">
        <v>112</v>
      </c>
      <c r="C159" s="118" t="s">
        <v>111</v>
      </c>
      <c r="D159" s="118" t="s">
        <v>147</v>
      </c>
      <c r="E159" s="118" t="s">
        <v>300</v>
      </c>
      <c r="F159" s="118" t="s">
        <v>130</v>
      </c>
      <c r="G159" s="122">
        <v>0.39500000000000002</v>
      </c>
      <c r="H159" s="122">
        <v>0.38400000000000001</v>
      </c>
      <c r="I159" s="122">
        <f t="shared" si="30"/>
        <v>0.43450000000000005</v>
      </c>
      <c r="J159" s="122">
        <f t="shared" si="30"/>
        <v>0.42240000000000005</v>
      </c>
      <c r="K159" s="122">
        <f t="shared" si="31"/>
        <v>0.49375000000000002</v>
      </c>
      <c r="L159" s="122">
        <f t="shared" si="31"/>
        <v>0.48</v>
      </c>
      <c r="M159" s="122">
        <f t="shared" si="32"/>
        <v>0.51350000000000007</v>
      </c>
      <c r="N159" s="122">
        <f t="shared" si="32"/>
        <v>0.49920000000000003</v>
      </c>
      <c r="O159" s="122">
        <f t="shared" si="33"/>
        <v>0.55299999999999994</v>
      </c>
      <c r="P159" s="122">
        <f t="shared" si="33"/>
        <v>0.53759999999999997</v>
      </c>
      <c r="Q159" s="122">
        <f t="shared" si="34"/>
        <v>0.59250000000000003</v>
      </c>
      <c r="R159" s="122">
        <f t="shared" si="34"/>
        <v>0.57600000000000007</v>
      </c>
      <c r="S159" s="119" t="s">
        <v>304</v>
      </c>
      <c r="T159" s="108"/>
      <c r="U159" s="108"/>
      <c r="V159" s="108"/>
      <c r="W159" s="108"/>
      <c r="X159" s="108"/>
      <c r="Y159" s="108"/>
      <c r="Z159" s="108"/>
      <c r="AA159" s="108"/>
      <c r="AB159" s="108"/>
    </row>
    <row r="160" spans="1:28">
      <c r="A160" s="128" t="s">
        <v>305</v>
      </c>
      <c r="B160" s="118" t="s">
        <v>112</v>
      </c>
      <c r="C160" s="118" t="s">
        <v>112</v>
      </c>
      <c r="D160" s="118" t="s">
        <v>147</v>
      </c>
      <c r="E160" s="118" t="s">
        <v>198</v>
      </c>
      <c r="F160" s="118" t="s">
        <v>130</v>
      </c>
      <c r="G160" s="122">
        <v>0.39500000000000002</v>
      </c>
      <c r="H160" s="122">
        <v>0.3836</v>
      </c>
      <c r="I160" s="122">
        <f t="shared" si="30"/>
        <v>0.43450000000000005</v>
      </c>
      <c r="J160" s="122">
        <f t="shared" si="30"/>
        <v>0.42196000000000006</v>
      </c>
      <c r="K160" s="122">
        <f t="shared" si="31"/>
        <v>0.49375000000000002</v>
      </c>
      <c r="L160" s="122">
        <f t="shared" si="31"/>
        <v>0.47949999999999998</v>
      </c>
      <c r="M160" s="122">
        <f t="shared" si="32"/>
        <v>0.51350000000000007</v>
      </c>
      <c r="N160" s="122">
        <f t="shared" si="32"/>
        <v>0.49868000000000001</v>
      </c>
      <c r="O160" s="122">
        <f t="shared" si="33"/>
        <v>0.55299999999999994</v>
      </c>
      <c r="P160" s="122">
        <f t="shared" si="33"/>
        <v>0.53703999999999996</v>
      </c>
      <c r="Q160" s="122">
        <f t="shared" si="34"/>
        <v>0.59250000000000003</v>
      </c>
      <c r="R160" s="122">
        <f t="shared" si="34"/>
        <v>0.57540000000000002</v>
      </c>
      <c r="S160" s="119" t="s">
        <v>398</v>
      </c>
      <c r="T160" s="108"/>
      <c r="U160" s="108"/>
      <c r="V160" s="108"/>
      <c r="W160" s="108"/>
      <c r="X160" s="108"/>
      <c r="Y160" s="108"/>
      <c r="Z160" s="108"/>
      <c r="AA160" s="108"/>
      <c r="AB160" s="108"/>
    </row>
    <row r="161" spans="1:28">
      <c r="A161" s="118">
        <v>111</v>
      </c>
      <c r="B161" s="118" t="s">
        <v>122</v>
      </c>
      <c r="C161" s="118" t="s">
        <v>122</v>
      </c>
      <c r="D161" s="118" t="s">
        <v>262</v>
      </c>
      <c r="E161" s="118" t="s">
        <v>262</v>
      </c>
      <c r="F161" s="118" t="s">
        <v>130</v>
      </c>
      <c r="G161" s="122">
        <v>0.433</v>
      </c>
      <c r="H161" s="122">
        <v>0.433</v>
      </c>
      <c r="I161" s="122">
        <f t="shared" si="30"/>
        <v>0.47630000000000006</v>
      </c>
      <c r="J161" s="122">
        <f t="shared" si="30"/>
        <v>0.47630000000000006</v>
      </c>
      <c r="K161" s="122">
        <f t="shared" si="31"/>
        <v>0.54125000000000001</v>
      </c>
      <c r="L161" s="122">
        <f t="shared" si="31"/>
        <v>0.54125000000000001</v>
      </c>
      <c r="M161" s="122">
        <f t="shared" si="32"/>
        <v>0.56290000000000007</v>
      </c>
      <c r="N161" s="122">
        <f t="shared" si="32"/>
        <v>0.56290000000000007</v>
      </c>
      <c r="O161" s="122">
        <f t="shared" si="33"/>
        <v>0.60619999999999996</v>
      </c>
      <c r="P161" s="122">
        <f t="shared" si="33"/>
        <v>0.60619999999999996</v>
      </c>
      <c r="Q161" s="122">
        <f t="shared" si="34"/>
        <v>0.64949999999999997</v>
      </c>
      <c r="R161" s="122">
        <f t="shared" si="34"/>
        <v>0.64949999999999997</v>
      </c>
      <c r="S161" s="119" t="s">
        <v>391</v>
      </c>
      <c r="T161" s="108"/>
      <c r="U161" s="108"/>
      <c r="V161" s="108"/>
      <c r="W161" s="108"/>
      <c r="X161" s="108"/>
      <c r="Y161" s="108"/>
      <c r="Z161" s="108"/>
      <c r="AA161" s="108"/>
      <c r="AB161" s="108"/>
    </row>
    <row r="162" spans="1:28" s="361" customFormat="1">
      <c r="A162" s="197">
        <v>118</v>
      </c>
      <c r="B162" s="197" t="s">
        <v>146</v>
      </c>
      <c r="C162" s="197" t="s">
        <v>146</v>
      </c>
      <c r="D162" s="197" t="s">
        <v>232</v>
      </c>
      <c r="E162" s="197" t="s">
        <v>232</v>
      </c>
      <c r="F162" s="197" t="s">
        <v>130</v>
      </c>
      <c r="G162" s="122">
        <v>0.36499999999999999</v>
      </c>
      <c r="H162" s="122">
        <v>0.36499999999999999</v>
      </c>
      <c r="I162" s="122">
        <f t="shared" si="30"/>
        <v>0.40150000000000002</v>
      </c>
      <c r="J162" s="122">
        <f t="shared" si="30"/>
        <v>0.40150000000000002</v>
      </c>
      <c r="K162" s="122">
        <f t="shared" si="31"/>
        <v>0.45624999999999999</v>
      </c>
      <c r="L162" s="122">
        <f t="shared" si="31"/>
        <v>0.45624999999999999</v>
      </c>
      <c r="M162" s="122">
        <f t="shared" si="32"/>
        <v>0.47449999999999998</v>
      </c>
      <c r="N162" s="122">
        <f t="shared" si="32"/>
        <v>0.47449999999999998</v>
      </c>
      <c r="O162" s="122">
        <f t="shared" si="33"/>
        <v>0.51100000000000001</v>
      </c>
      <c r="P162" s="122">
        <f t="shared" si="33"/>
        <v>0.51100000000000001</v>
      </c>
      <c r="Q162" s="122">
        <f t="shared" si="34"/>
        <v>0.54749999999999999</v>
      </c>
      <c r="R162" s="122">
        <f t="shared" si="34"/>
        <v>0.54749999999999999</v>
      </c>
      <c r="S162" s="196" t="s">
        <v>392</v>
      </c>
    </row>
    <row r="163" spans="1:28">
      <c r="A163" s="118">
        <v>119</v>
      </c>
      <c r="B163" s="118" t="s">
        <v>111</v>
      </c>
      <c r="C163" s="118" t="s">
        <v>111</v>
      </c>
      <c r="D163" s="118" t="s">
        <v>300</v>
      </c>
      <c r="E163" s="118" t="s">
        <v>300</v>
      </c>
      <c r="F163" s="118" t="s">
        <v>130</v>
      </c>
      <c r="G163" s="122">
        <v>0.3846</v>
      </c>
      <c r="H163" s="122">
        <v>0.3846</v>
      </c>
      <c r="I163" s="122">
        <f t="shared" si="30"/>
        <v>0.42306000000000005</v>
      </c>
      <c r="J163" s="122">
        <f t="shared" si="30"/>
        <v>0.42306000000000005</v>
      </c>
      <c r="K163" s="122">
        <f t="shared" si="31"/>
        <v>0.48075000000000001</v>
      </c>
      <c r="L163" s="122">
        <f t="shared" si="31"/>
        <v>0.48075000000000001</v>
      </c>
      <c r="M163" s="122">
        <f t="shared" si="32"/>
        <v>0.49998000000000004</v>
      </c>
      <c r="N163" s="122">
        <f t="shared" si="32"/>
        <v>0.49998000000000004</v>
      </c>
      <c r="O163" s="122">
        <f t="shared" si="33"/>
        <v>0.53843999999999992</v>
      </c>
      <c r="P163" s="122">
        <f t="shared" si="33"/>
        <v>0.53843999999999992</v>
      </c>
      <c r="Q163" s="122">
        <f t="shared" si="34"/>
        <v>0.57689999999999997</v>
      </c>
      <c r="R163" s="122">
        <f t="shared" si="34"/>
        <v>0.57689999999999997</v>
      </c>
      <c r="S163" s="119" t="s">
        <v>425</v>
      </c>
      <c r="T163" s="108"/>
      <c r="U163" s="108"/>
      <c r="V163" s="108"/>
      <c r="W163" s="108"/>
      <c r="X163" s="108"/>
      <c r="Y163" s="108"/>
      <c r="Z163" s="108"/>
      <c r="AA163" s="108"/>
      <c r="AB163" s="108"/>
    </row>
    <row r="164" spans="1:28">
      <c r="A164" s="118">
        <v>121</v>
      </c>
      <c r="B164" s="118" t="s">
        <v>119</v>
      </c>
      <c r="C164" s="118" t="s">
        <v>119</v>
      </c>
      <c r="D164" s="118" t="s">
        <v>241</v>
      </c>
      <c r="E164" s="118" t="s">
        <v>241</v>
      </c>
      <c r="F164" s="118" t="s">
        <v>130</v>
      </c>
      <c r="G164" s="122">
        <v>0.44500000000000001</v>
      </c>
      <c r="H164" s="122">
        <v>0.44500000000000001</v>
      </c>
      <c r="I164" s="122">
        <f t="shared" si="30"/>
        <v>0.48950000000000005</v>
      </c>
      <c r="J164" s="122">
        <f t="shared" si="30"/>
        <v>0.48950000000000005</v>
      </c>
      <c r="K164" s="122">
        <f t="shared" si="31"/>
        <v>0.55625000000000002</v>
      </c>
      <c r="L164" s="122">
        <f t="shared" si="31"/>
        <v>0.55625000000000002</v>
      </c>
      <c r="M164" s="122">
        <f t="shared" si="32"/>
        <v>0.57850000000000001</v>
      </c>
      <c r="N164" s="122">
        <f t="shared" si="32"/>
        <v>0.57850000000000001</v>
      </c>
      <c r="O164" s="122">
        <f t="shared" si="33"/>
        <v>0.623</v>
      </c>
      <c r="P164" s="122">
        <f t="shared" si="33"/>
        <v>0.623</v>
      </c>
      <c r="Q164" s="122">
        <f t="shared" si="34"/>
        <v>0.66749999999999998</v>
      </c>
      <c r="R164" s="122">
        <f t="shared" si="34"/>
        <v>0.66749999999999998</v>
      </c>
      <c r="S164" s="119" t="s">
        <v>393</v>
      </c>
      <c r="T164" s="108"/>
      <c r="U164" s="108"/>
      <c r="V164" s="108"/>
      <c r="W164" s="108"/>
      <c r="X164" s="108"/>
      <c r="Y164" s="108"/>
      <c r="Z164" s="108"/>
      <c r="AA164" s="108"/>
      <c r="AB164" s="108"/>
    </row>
    <row r="165" spans="1:28">
      <c r="A165" s="128" t="s">
        <v>306</v>
      </c>
      <c r="B165" s="118" t="s">
        <v>119</v>
      </c>
      <c r="C165" s="118" t="s">
        <v>179</v>
      </c>
      <c r="D165" s="118" t="s">
        <v>241</v>
      </c>
      <c r="E165" s="118" t="s">
        <v>108</v>
      </c>
      <c r="F165" s="118" t="s">
        <v>130</v>
      </c>
      <c r="G165" s="122">
        <v>0.44500000000000001</v>
      </c>
      <c r="H165" s="122">
        <v>0.4345</v>
      </c>
      <c r="I165" s="122">
        <f t="shared" si="30"/>
        <v>0.48950000000000005</v>
      </c>
      <c r="J165" s="122">
        <f t="shared" si="30"/>
        <v>0.47795000000000004</v>
      </c>
      <c r="K165" s="122">
        <f t="shared" si="31"/>
        <v>0.55625000000000002</v>
      </c>
      <c r="L165" s="122">
        <f t="shared" si="31"/>
        <v>0.54312499999999997</v>
      </c>
      <c r="M165" s="122">
        <f t="shared" si="32"/>
        <v>0.57850000000000001</v>
      </c>
      <c r="N165" s="122">
        <f t="shared" si="32"/>
        <v>0.56484999999999996</v>
      </c>
      <c r="O165" s="122">
        <f t="shared" si="33"/>
        <v>0.623</v>
      </c>
      <c r="P165" s="122">
        <f t="shared" si="33"/>
        <v>0.60829999999999995</v>
      </c>
      <c r="Q165" s="122">
        <f t="shared" si="34"/>
        <v>0.66749999999999998</v>
      </c>
      <c r="R165" s="122">
        <f t="shared" si="34"/>
        <v>0.65175000000000005</v>
      </c>
      <c r="S165" s="119" t="s">
        <v>307</v>
      </c>
      <c r="T165" s="108"/>
      <c r="U165" s="108"/>
      <c r="V165" s="108"/>
      <c r="W165" s="108"/>
      <c r="X165" s="108"/>
      <c r="Y165" s="108"/>
      <c r="Z165" s="108"/>
      <c r="AA165" s="108"/>
      <c r="AB165" s="108"/>
    </row>
    <row r="166" spans="1:28">
      <c r="A166" s="128" t="s">
        <v>308</v>
      </c>
      <c r="B166" s="118" t="s">
        <v>116</v>
      </c>
      <c r="C166" s="118" t="s">
        <v>179</v>
      </c>
      <c r="D166" s="118" t="s">
        <v>128</v>
      </c>
      <c r="E166" s="118" t="s">
        <v>108</v>
      </c>
      <c r="F166" s="118" t="s">
        <v>130</v>
      </c>
      <c r="G166" s="122">
        <v>0.46</v>
      </c>
      <c r="H166" s="122">
        <v>0.4345</v>
      </c>
      <c r="I166" s="122">
        <f t="shared" si="30"/>
        <v>0.50600000000000012</v>
      </c>
      <c r="J166" s="122">
        <f t="shared" si="30"/>
        <v>0.47795000000000004</v>
      </c>
      <c r="K166" s="122">
        <f t="shared" si="31"/>
        <v>0.57500000000000007</v>
      </c>
      <c r="L166" s="122">
        <f t="shared" si="31"/>
        <v>0.54312499999999997</v>
      </c>
      <c r="M166" s="122">
        <f t="shared" si="32"/>
        <v>0.59800000000000009</v>
      </c>
      <c r="N166" s="122">
        <f t="shared" si="32"/>
        <v>0.56484999999999996</v>
      </c>
      <c r="O166" s="122">
        <f t="shared" si="33"/>
        <v>0.64400000000000002</v>
      </c>
      <c r="P166" s="122">
        <f t="shared" si="33"/>
        <v>0.60829999999999995</v>
      </c>
      <c r="Q166" s="122">
        <f t="shared" si="34"/>
        <v>0.69000000000000006</v>
      </c>
      <c r="R166" s="122">
        <f t="shared" si="34"/>
        <v>0.65175000000000005</v>
      </c>
      <c r="S166" s="119" t="s">
        <v>309</v>
      </c>
      <c r="T166" s="108"/>
      <c r="U166" s="108"/>
      <c r="V166" s="108"/>
      <c r="W166" s="108"/>
      <c r="X166" s="108"/>
      <c r="Y166" s="108"/>
      <c r="Z166" s="108"/>
      <c r="AA166" s="108"/>
      <c r="AB166" s="108"/>
    </row>
    <row r="167" spans="1:28">
      <c r="A167" s="118">
        <v>125</v>
      </c>
      <c r="B167" s="118" t="s">
        <v>179</v>
      </c>
      <c r="C167" s="118" t="s">
        <v>179</v>
      </c>
      <c r="D167" s="118" t="s">
        <v>108</v>
      </c>
      <c r="E167" s="118" t="s">
        <v>108</v>
      </c>
      <c r="F167" s="118" t="s">
        <v>130</v>
      </c>
      <c r="G167" s="122">
        <v>0.435</v>
      </c>
      <c r="H167" s="122">
        <v>0.435</v>
      </c>
      <c r="I167" s="122">
        <f t="shared" si="30"/>
        <v>0.47850000000000004</v>
      </c>
      <c r="J167" s="122">
        <f t="shared" si="30"/>
        <v>0.47850000000000004</v>
      </c>
      <c r="K167" s="122">
        <f t="shared" si="31"/>
        <v>0.54374999999999996</v>
      </c>
      <c r="L167" s="122">
        <f t="shared" si="31"/>
        <v>0.54374999999999996</v>
      </c>
      <c r="M167" s="122">
        <f t="shared" si="32"/>
        <v>0.5655</v>
      </c>
      <c r="N167" s="122">
        <f t="shared" si="32"/>
        <v>0.5655</v>
      </c>
      <c r="O167" s="122">
        <f t="shared" si="33"/>
        <v>0.60899999999999999</v>
      </c>
      <c r="P167" s="122">
        <f t="shared" si="33"/>
        <v>0.60899999999999999</v>
      </c>
      <c r="Q167" s="122">
        <f t="shared" si="34"/>
        <v>0.65249999999999997</v>
      </c>
      <c r="R167" s="122">
        <f t="shared" si="34"/>
        <v>0.65249999999999997</v>
      </c>
      <c r="S167" s="119" t="s">
        <v>310</v>
      </c>
      <c r="T167" s="108"/>
      <c r="U167" s="108"/>
      <c r="V167" s="108"/>
      <c r="W167" s="108"/>
      <c r="X167" s="108"/>
      <c r="Y167" s="108"/>
      <c r="Z167" s="108"/>
      <c r="AA167" s="108"/>
      <c r="AB167" s="108"/>
    </row>
    <row r="168" spans="1:28">
      <c r="A168" s="118">
        <v>142</v>
      </c>
      <c r="B168" s="118" t="s">
        <v>211</v>
      </c>
      <c r="C168" s="118" t="s">
        <v>202</v>
      </c>
      <c r="D168" s="118" t="s">
        <v>181</v>
      </c>
      <c r="E168" s="118" t="s">
        <v>311</v>
      </c>
      <c r="F168" s="118" t="s">
        <v>130</v>
      </c>
      <c r="G168" s="122">
        <v>0.30230000000000001</v>
      </c>
      <c r="H168" s="122">
        <v>0.28310000000000002</v>
      </c>
      <c r="I168" s="122">
        <f t="shared" si="30"/>
        <v>0.33253000000000005</v>
      </c>
      <c r="J168" s="122">
        <f t="shared" si="30"/>
        <v>0.31141000000000002</v>
      </c>
      <c r="K168" s="122">
        <f t="shared" si="31"/>
        <v>0.37787500000000002</v>
      </c>
      <c r="L168" s="122">
        <f t="shared" si="31"/>
        <v>0.35387500000000005</v>
      </c>
      <c r="M168" s="122">
        <f t="shared" si="32"/>
        <v>0.39299000000000001</v>
      </c>
      <c r="N168" s="122">
        <f t="shared" si="32"/>
        <v>0.36803000000000002</v>
      </c>
      <c r="O168" s="122">
        <f t="shared" si="33"/>
        <v>0.42321999999999999</v>
      </c>
      <c r="P168" s="122">
        <f t="shared" si="33"/>
        <v>0.39634000000000003</v>
      </c>
      <c r="Q168" s="122">
        <f t="shared" si="34"/>
        <v>0.45345000000000002</v>
      </c>
      <c r="R168" s="122">
        <f t="shared" si="34"/>
        <v>0.42465000000000003</v>
      </c>
      <c r="S168" s="119" t="s">
        <v>383</v>
      </c>
      <c r="T168" s="108"/>
      <c r="U168" s="108"/>
      <c r="V168" s="108"/>
      <c r="W168" s="108"/>
      <c r="X168" s="108"/>
      <c r="Y168" s="108"/>
      <c r="Z168" s="108"/>
      <c r="AA168" s="108"/>
      <c r="AB168" s="108"/>
    </row>
    <row r="169" spans="1:28" s="361" customFormat="1">
      <c r="A169" s="197">
        <v>163</v>
      </c>
      <c r="B169" s="197" t="s">
        <v>112</v>
      </c>
      <c r="C169" s="197" t="s">
        <v>112</v>
      </c>
      <c r="D169" s="197" t="s">
        <v>198</v>
      </c>
      <c r="E169" s="197" t="s">
        <v>198</v>
      </c>
      <c r="F169" s="197" t="s">
        <v>130</v>
      </c>
      <c r="G169" s="122">
        <v>0.3846</v>
      </c>
      <c r="H169" s="122">
        <v>0.3846</v>
      </c>
      <c r="I169" s="122">
        <f t="shared" si="30"/>
        <v>0.42306000000000005</v>
      </c>
      <c r="J169" s="122">
        <f t="shared" si="30"/>
        <v>0.42306000000000005</v>
      </c>
      <c r="K169" s="122">
        <f t="shared" si="31"/>
        <v>0.48075000000000001</v>
      </c>
      <c r="L169" s="122">
        <f t="shared" si="31"/>
        <v>0.48075000000000001</v>
      </c>
      <c r="M169" s="122">
        <f t="shared" si="32"/>
        <v>0.49998000000000004</v>
      </c>
      <c r="N169" s="122">
        <f t="shared" si="32"/>
        <v>0.49998000000000004</v>
      </c>
      <c r="O169" s="122">
        <f t="shared" si="33"/>
        <v>0.53843999999999992</v>
      </c>
      <c r="P169" s="122">
        <f t="shared" si="33"/>
        <v>0.53843999999999992</v>
      </c>
      <c r="Q169" s="122">
        <f t="shared" si="34"/>
        <v>0.57689999999999997</v>
      </c>
      <c r="R169" s="122">
        <f t="shared" si="34"/>
        <v>0.57689999999999997</v>
      </c>
      <c r="S169" s="196" t="s">
        <v>394</v>
      </c>
    </row>
    <row r="170" spans="1:28" s="361" customFormat="1">
      <c r="A170" s="197" t="s">
        <v>312</v>
      </c>
      <c r="B170" s="197" t="s">
        <v>112</v>
      </c>
      <c r="C170" s="197" t="s">
        <v>149</v>
      </c>
      <c r="D170" s="197" t="s">
        <v>144</v>
      </c>
      <c r="E170" s="197" t="s">
        <v>108</v>
      </c>
      <c r="F170" s="197" t="s">
        <v>130</v>
      </c>
      <c r="G170" s="122">
        <v>0.3846</v>
      </c>
      <c r="H170" s="122">
        <v>0.3846</v>
      </c>
      <c r="I170" s="122">
        <f t="shared" si="30"/>
        <v>0.42306000000000005</v>
      </c>
      <c r="J170" s="122">
        <f t="shared" si="30"/>
        <v>0.42306000000000005</v>
      </c>
      <c r="K170" s="122">
        <f t="shared" si="31"/>
        <v>0.48075000000000001</v>
      </c>
      <c r="L170" s="122">
        <f t="shared" si="31"/>
        <v>0.48075000000000001</v>
      </c>
      <c r="M170" s="122">
        <f t="shared" si="32"/>
        <v>0.49998000000000004</v>
      </c>
      <c r="N170" s="122">
        <f t="shared" si="32"/>
        <v>0.49998000000000004</v>
      </c>
      <c r="O170" s="122">
        <f t="shared" si="33"/>
        <v>0.53843999999999992</v>
      </c>
      <c r="P170" s="122">
        <f t="shared" si="33"/>
        <v>0.53843999999999992</v>
      </c>
      <c r="Q170" s="122">
        <f t="shared" si="34"/>
        <v>0.57689999999999997</v>
      </c>
      <c r="R170" s="122">
        <f t="shared" si="34"/>
        <v>0.57689999999999997</v>
      </c>
      <c r="S170" s="196" t="s">
        <v>395</v>
      </c>
    </row>
    <row r="171" spans="1:28">
      <c r="A171" s="118">
        <v>165</v>
      </c>
      <c r="B171" s="118" t="s">
        <v>124</v>
      </c>
      <c r="C171" s="118" t="s">
        <v>124</v>
      </c>
      <c r="D171" s="118" t="s">
        <v>138</v>
      </c>
      <c r="E171" s="118" t="s">
        <v>138</v>
      </c>
      <c r="F171" s="118" t="s">
        <v>130</v>
      </c>
      <c r="G171" s="122">
        <v>0.44700000000000001</v>
      </c>
      <c r="H171" s="122">
        <v>0.44700000000000001</v>
      </c>
      <c r="I171" s="122">
        <f t="shared" si="30"/>
        <v>0.49170000000000003</v>
      </c>
      <c r="J171" s="122">
        <f t="shared" si="30"/>
        <v>0.49170000000000003</v>
      </c>
      <c r="K171" s="122">
        <f t="shared" si="31"/>
        <v>0.55874999999999997</v>
      </c>
      <c r="L171" s="122">
        <f t="shared" si="31"/>
        <v>0.55874999999999997</v>
      </c>
      <c r="M171" s="122">
        <f t="shared" si="32"/>
        <v>0.58110000000000006</v>
      </c>
      <c r="N171" s="122">
        <f t="shared" si="32"/>
        <v>0.58110000000000006</v>
      </c>
      <c r="O171" s="122">
        <f t="shared" si="33"/>
        <v>0.62580000000000002</v>
      </c>
      <c r="P171" s="122">
        <f t="shared" si="33"/>
        <v>0.62580000000000002</v>
      </c>
      <c r="Q171" s="122">
        <f t="shared" si="34"/>
        <v>0.67049999999999998</v>
      </c>
      <c r="R171" s="122">
        <f t="shared" si="34"/>
        <v>0.67049999999999998</v>
      </c>
      <c r="S171" s="119" t="s">
        <v>313</v>
      </c>
      <c r="T171" s="108"/>
      <c r="U171" s="108"/>
      <c r="V171" s="108"/>
      <c r="W171" s="108"/>
      <c r="X171" s="108"/>
      <c r="Y171" s="108"/>
      <c r="Z171" s="108"/>
      <c r="AA171" s="108"/>
      <c r="AB171" s="108"/>
    </row>
    <row r="172" spans="1:28">
      <c r="A172" s="118">
        <v>197</v>
      </c>
      <c r="B172" s="118" t="s">
        <v>170</v>
      </c>
      <c r="C172" s="118" t="s">
        <v>170</v>
      </c>
      <c r="D172" s="118" t="s">
        <v>165</v>
      </c>
      <c r="E172" s="118" t="s">
        <v>165</v>
      </c>
      <c r="F172" s="118" t="s">
        <v>130</v>
      </c>
      <c r="G172" s="122">
        <v>0.43733</v>
      </c>
      <c r="H172" s="122">
        <v>0.43733</v>
      </c>
      <c r="I172" s="122">
        <f t="shared" si="30"/>
        <v>0.48106300000000002</v>
      </c>
      <c r="J172" s="122">
        <f t="shared" si="30"/>
        <v>0.48106300000000002</v>
      </c>
      <c r="K172" s="122">
        <f t="shared" si="31"/>
        <v>0.54666250000000005</v>
      </c>
      <c r="L172" s="122">
        <f t="shared" si="31"/>
        <v>0.54666250000000005</v>
      </c>
      <c r="M172" s="122">
        <f t="shared" si="32"/>
        <v>0.56852900000000006</v>
      </c>
      <c r="N172" s="122">
        <f t="shared" si="32"/>
        <v>0.56852900000000006</v>
      </c>
      <c r="O172" s="122">
        <f t="shared" si="33"/>
        <v>0.61226199999999997</v>
      </c>
      <c r="P172" s="122">
        <f t="shared" si="33"/>
        <v>0.61226199999999997</v>
      </c>
      <c r="Q172" s="122">
        <f t="shared" si="34"/>
        <v>0.65599499999999999</v>
      </c>
      <c r="R172" s="122">
        <f t="shared" si="34"/>
        <v>0.65599499999999999</v>
      </c>
      <c r="S172" s="119" t="s">
        <v>314</v>
      </c>
      <c r="T172" s="108"/>
      <c r="U172" s="108"/>
      <c r="V172" s="108"/>
      <c r="W172" s="108"/>
      <c r="X172" s="108"/>
      <c r="Y172" s="108"/>
      <c r="Z172" s="108"/>
      <c r="AA172" s="108"/>
      <c r="AB172" s="108"/>
    </row>
    <row r="173" spans="1:28" s="361" customFormat="1">
      <c r="A173" s="197">
        <v>218</v>
      </c>
      <c r="B173" s="197" t="s">
        <v>125</v>
      </c>
      <c r="C173" s="197" t="s">
        <v>125</v>
      </c>
      <c r="D173" s="197" t="s">
        <v>202</v>
      </c>
      <c r="E173" s="197" t="s">
        <v>202</v>
      </c>
      <c r="F173" s="197" t="s">
        <v>130</v>
      </c>
      <c r="G173" s="122">
        <v>0.41399999999999998</v>
      </c>
      <c r="H173" s="122">
        <v>0.41399999999999998</v>
      </c>
      <c r="I173" s="122">
        <f t="shared" si="30"/>
        <v>0.45540000000000003</v>
      </c>
      <c r="J173" s="122">
        <f t="shared" si="30"/>
        <v>0.45540000000000003</v>
      </c>
      <c r="K173" s="122">
        <f t="shared" si="31"/>
        <v>0.51749999999999996</v>
      </c>
      <c r="L173" s="122">
        <f t="shared" si="31"/>
        <v>0.51749999999999996</v>
      </c>
      <c r="M173" s="122">
        <f t="shared" si="32"/>
        <v>0.53820000000000001</v>
      </c>
      <c r="N173" s="122">
        <f t="shared" si="32"/>
        <v>0.53820000000000001</v>
      </c>
      <c r="O173" s="122">
        <f t="shared" si="33"/>
        <v>0.57959999999999989</v>
      </c>
      <c r="P173" s="122">
        <f t="shared" si="33"/>
        <v>0.57959999999999989</v>
      </c>
      <c r="Q173" s="122">
        <f t="shared" si="34"/>
        <v>0.621</v>
      </c>
      <c r="R173" s="122">
        <f t="shared" si="34"/>
        <v>0.621</v>
      </c>
      <c r="S173" s="196" t="s">
        <v>407</v>
      </c>
    </row>
    <row r="174" spans="1:28">
      <c r="A174" s="128" t="s">
        <v>315</v>
      </c>
      <c r="B174" s="118" t="s">
        <v>125</v>
      </c>
      <c r="C174" s="118" t="s">
        <v>111</v>
      </c>
      <c r="D174" s="118" t="s">
        <v>202</v>
      </c>
      <c r="E174" s="118" t="s">
        <v>300</v>
      </c>
      <c r="F174" s="118" t="s">
        <v>130</v>
      </c>
      <c r="G174" s="122">
        <v>0.41799999999999998</v>
      </c>
      <c r="H174" s="122">
        <v>0.3836</v>
      </c>
      <c r="I174" s="122">
        <f t="shared" si="30"/>
        <v>0.45980000000000004</v>
      </c>
      <c r="J174" s="122">
        <f t="shared" si="30"/>
        <v>0.42196000000000006</v>
      </c>
      <c r="K174" s="122">
        <f t="shared" si="31"/>
        <v>0.52249999999999996</v>
      </c>
      <c r="L174" s="122">
        <f t="shared" si="31"/>
        <v>0.47949999999999998</v>
      </c>
      <c r="M174" s="122">
        <f t="shared" si="32"/>
        <v>0.54339999999999999</v>
      </c>
      <c r="N174" s="122">
        <f t="shared" si="32"/>
        <v>0.49868000000000001</v>
      </c>
      <c r="O174" s="122">
        <f t="shared" si="33"/>
        <v>0.58519999999999994</v>
      </c>
      <c r="P174" s="122">
        <f t="shared" si="33"/>
        <v>0.53703999999999996</v>
      </c>
      <c r="Q174" s="122">
        <f t="shared" si="34"/>
        <v>0.627</v>
      </c>
      <c r="R174" s="122">
        <f t="shared" si="34"/>
        <v>0.57540000000000002</v>
      </c>
      <c r="S174" s="119" t="s">
        <v>408</v>
      </c>
      <c r="T174" s="108"/>
      <c r="U174" s="108"/>
      <c r="V174" s="108"/>
      <c r="W174" s="108"/>
      <c r="X174" s="108"/>
      <c r="Y174" s="108"/>
      <c r="Z174" s="108"/>
      <c r="AA174" s="108"/>
      <c r="AB174" s="108"/>
    </row>
    <row r="175" spans="1:28">
      <c r="A175" s="118">
        <v>226</v>
      </c>
      <c r="B175" s="118" t="s">
        <v>255</v>
      </c>
      <c r="C175" s="118" t="s">
        <v>255</v>
      </c>
      <c r="D175" s="118" t="s">
        <v>140</v>
      </c>
      <c r="E175" s="118" t="s">
        <v>140</v>
      </c>
      <c r="F175" s="118" t="s">
        <v>130</v>
      </c>
      <c r="G175" s="122">
        <v>0.40699999999999997</v>
      </c>
      <c r="H175" s="122">
        <v>0.40699999999999997</v>
      </c>
      <c r="I175" s="122">
        <f t="shared" si="30"/>
        <v>0.44769999999999999</v>
      </c>
      <c r="J175" s="122">
        <f t="shared" si="30"/>
        <v>0.44769999999999999</v>
      </c>
      <c r="K175" s="122">
        <f t="shared" si="31"/>
        <v>0.50874999999999992</v>
      </c>
      <c r="L175" s="122">
        <f t="shared" si="31"/>
        <v>0.50874999999999992</v>
      </c>
      <c r="M175" s="122">
        <f t="shared" si="32"/>
        <v>0.52910000000000001</v>
      </c>
      <c r="N175" s="122">
        <f t="shared" si="32"/>
        <v>0.52910000000000001</v>
      </c>
      <c r="O175" s="122">
        <f t="shared" si="33"/>
        <v>0.56979999999999997</v>
      </c>
      <c r="P175" s="122">
        <f t="shared" si="33"/>
        <v>0.56979999999999997</v>
      </c>
      <c r="Q175" s="122">
        <f t="shared" si="34"/>
        <v>0.61049999999999993</v>
      </c>
      <c r="R175" s="122">
        <f t="shared" si="34"/>
        <v>0.61049999999999993</v>
      </c>
      <c r="S175" s="119" t="s">
        <v>316</v>
      </c>
      <c r="T175" s="108"/>
      <c r="U175" s="108"/>
      <c r="V175" s="108"/>
      <c r="W175" s="108"/>
      <c r="X175" s="108"/>
      <c r="Y175" s="108"/>
      <c r="Z175" s="108"/>
      <c r="AA175" s="108"/>
      <c r="AB175" s="108"/>
    </row>
    <row r="176" spans="1:28">
      <c r="A176" s="118">
        <v>251</v>
      </c>
      <c r="B176" s="118" t="s">
        <v>317</v>
      </c>
      <c r="C176" s="118" t="s">
        <v>317</v>
      </c>
      <c r="D176" s="118" t="s">
        <v>318</v>
      </c>
      <c r="E176" s="118" t="s">
        <v>318</v>
      </c>
      <c r="F176" s="118" t="s">
        <v>130</v>
      </c>
      <c r="G176" s="122">
        <v>0.42</v>
      </c>
      <c r="H176" s="122">
        <v>0.42</v>
      </c>
      <c r="I176" s="122">
        <f t="shared" si="30"/>
        <v>0.46200000000000002</v>
      </c>
      <c r="J176" s="122">
        <f t="shared" si="30"/>
        <v>0.46200000000000002</v>
      </c>
      <c r="K176" s="122">
        <f t="shared" si="31"/>
        <v>0.52500000000000002</v>
      </c>
      <c r="L176" s="122">
        <f t="shared" si="31"/>
        <v>0.52500000000000002</v>
      </c>
      <c r="M176" s="122">
        <f t="shared" si="32"/>
        <v>0.54600000000000004</v>
      </c>
      <c r="N176" s="122">
        <f t="shared" si="32"/>
        <v>0.54600000000000004</v>
      </c>
      <c r="O176" s="122">
        <f t="shared" si="33"/>
        <v>0.58799999999999997</v>
      </c>
      <c r="P176" s="122">
        <f t="shared" si="33"/>
        <v>0.58799999999999997</v>
      </c>
      <c r="Q176" s="122">
        <f t="shared" si="34"/>
        <v>0.63</v>
      </c>
      <c r="R176" s="122">
        <f t="shared" si="34"/>
        <v>0.63</v>
      </c>
      <c r="S176" s="119" t="s">
        <v>319</v>
      </c>
      <c r="T176" s="108"/>
      <c r="U176" s="108"/>
      <c r="V176" s="108"/>
      <c r="W176" s="108"/>
      <c r="X176" s="108"/>
      <c r="Y176" s="108"/>
      <c r="Z176" s="108"/>
      <c r="AA176" s="108"/>
      <c r="AB176" s="108"/>
    </row>
    <row r="177" spans="1:28">
      <c r="A177" s="118">
        <v>277</v>
      </c>
      <c r="B177" s="118" t="s">
        <v>168</v>
      </c>
      <c r="C177" s="118" t="s">
        <v>168</v>
      </c>
      <c r="D177" s="118" t="s">
        <v>179</v>
      </c>
      <c r="E177" s="118" t="s">
        <v>179</v>
      </c>
      <c r="F177" s="118" t="s">
        <v>130</v>
      </c>
      <c r="G177" s="122">
        <v>0.44</v>
      </c>
      <c r="H177" s="122">
        <v>0.44</v>
      </c>
      <c r="I177" s="122">
        <f t="shared" si="30"/>
        <v>0.48400000000000004</v>
      </c>
      <c r="J177" s="122">
        <f t="shared" si="30"/>
        <v>0.48400000000000004</v>
      </c>
      <c r="K177" s="122">
        <f t="shared" si="31"/>
        <v>0.55000000000000004</v>
      </c>
      <c r="L177" s="122">
        <f t="shared" si="31"/>
        <v>0.55000000000000004</v>
      </c>
      <c r="M177" s="122">
        <f t="shared" si="32"/>
        <v>0.57200000000000006</v>
      </c>
      <c r="N177" s="122">
        <f t="shared" si="32"/>
        <v>0.57200000000000006</v>
      </c>
      <c r="O177" s="122">
        <f t="shared" si="33"/>
        <v>0.61599999999999999</v>
      </c>
      <c r="P177" s="122">
        <f t="shared" si="33"/>
        <v>0.61599999999999999</v>
      </c>
      <c r="Q177" s="122">
        <f t="shared" si="34"/>
        <v>0.66</v>
      </c>
      <c r="R177" s="122">
        <f t="shared" si="34"/>
        <v>0.66</v>
      </c>
      <c r="S177" s="119" t="s">
        <v>320</v>
      </c>
      <c r="T177" s="108"/>
      <c r="U177" s="108"/>
      <c r="V177" s="108"/>
      <c r="W177" s="108"/>
      <c r="X177" s="108"/>
      <c r="Y177" s="108"/>
      <c r="Z177" s="108"/>
      <c r="AA177" s="108"/>
      <c r="AB177" s="108"/>
    </row>
    <row r="178" spans="1:28">
      <c r="A178" s="118">
        <v>494</v>
      </c>
      <c r="B178" s="118" t="s">
        <v>125</v>
      </c>
      <c r="C178" s="118" t="s">
        <v>101</v>
      </c>
      <c r="D178" s="118" t="s">
        <v>125</v>
      </c>
      <c r="E178" s="118" t="s">
        <v>101</v>
      </c>
      <c r="F178" s="118" t="s">
        <v>130</v>
      </c>
      <c r="G178" s="122">
        <v>0.35759999999999997</v>
      </c>
      <c r="H178" s="122">
        <v>0.35759999999999997</v>
      </c>
      <c r="I178" s="122">
        <f t="shared" si="30"/>
        <v>0.39335999999999999</v>
      </c>
      <c r="J178" s="122">
        <f t="shared" si="30"/>
        <v>0.39335999999999999</v>
      </c>
      <c r="K178" s="122">
        <f t="shared" si="31"/>
        <v>0.44699999999999995</v>
      </c>
      <c r="L178" s="122">
        <f t="shared" si="31"/>
        <v>0.44699999999999995</v>
      </c>
      <c r="M178" s="122">
        <f t="shared" si="32"/>
        <v>0.46487999999999996</v>
      </c>
      <c r="N178" s="122">
        <f t="shared" si="32"/>
        <v>0.46487999999999996</v>
      </c>
      <c r="O178" s="122">
        <f t="shared" si="33"/>
        <v>0.50063999999999997</v>
      </c>
      <c r="P178" s="122">
        <f t="shared" si="33"/>
        <v>0.50063999999999997</v>
      </c>
      <c r="Q178" s="122">
        <f t="shared" si="34"/>
        <v>0.53639999999999999</v>
      </c>
      <c r="R178" s="122">
        <f t="shared" si="34"/>
        <v>0.53639999999999999</v>
      </c>
      <c r="S178" s="119" t="s">
        <v>384</v>
      </c>
      <c r="T178" s="108"/>
      <c r="U178" s="108"/>
      <c r="V178" s="108"/>
      <c r="W178" s="108"/>
      <c r="X178" s="108"/>
      <c r="Y178" s="108"/>
      <c r="Z178" s="108"/>
      <c r="AA178" s="108"/>
      <c r="AB178" s="108"/>
    </row>
    <row r="180" spans="1:28">
      <c r="I180" s="129"/>
      <c r="J180" s="130"/>
      <c r="K180" s="130"/>
      <c r="L180" s="131" t="s">
        <v>95</v>
      </c>
      <c r="M180" s="130"/>
      <c r="N180" s="130"/>
      <c r="O180" s="130"/>
      <c r="P180" s="130"/>
      <c r="Q180" s="130"/>
      <c r="R180" s="132"/>
      <c r="S180" s="123"/>
      <c r="T180" s="108"/>
      <c r="U180" s="108"/>
      <c r="V180" s="108"/>
      <c r="W180" s="108"/>
      <c r="X180" s="108"/>
      <c r="Y180" s="108"/>
      <c r="Z180" s="108"/>
      <c r="AA180" s="108"/>
      <c r="AB180" s="108"/>
    </row>
    <row r="181" spans="1:28">
      <c r="B181" s="137" t="s">
        <v>435</v>
      </c>
      <c r="C181" s="132"/>
      <c r="D181" s="131" t="s">
        <v>96</v>
      </c>
      <c r="E181" s="130"/>
      <c r="F181" s="144" t="s">
        <v>97</v>
      </c>
      <c r="G181" s="135" t="s">
        <v>98</v>
      </c>
      <c r="H181" s="132"/>
      <c r="I181" s="141">
        <f>$I$6</f>
        <v>1.1000000000000001</v>
      </c>
      <c r="J181" s="126"/>
      <c r="K181" s="125">
        <f>$K$6</f>
        <v>1.25</v>
      </c>
      <c r="L181" s="126"/>
      <c r="M181" s="125">
        <f>$M$6</f>
        <v>1.3</v>
      </c>
      <c r="N181" s="125"/>
      <c r="O181" s="125">
        <f>$O$6</f>
        <v>1.4</v>
      </c>
      <c r="P181" s="126"/>
      <c r="Q181" s="125">
        <f>$Q$6</f>
        <v>1.5</v>
      </c>
      <c r="R181" s="134"/>
      <c r="S181" s="123"/>
      <c r="T181" s="108"/>
      <c r="U181" s="108"/>
      <c r="V181" s="108"/>
      <c r="W181" s="108"/>
      <c r="X181" s="108"/>
      <c r="Y181" s="108"/>
      <c r="Z181" s="108"/>
      <c r="AA181" s="108"/>
      <c r="AB181" s="108"/>
    </row>
    <row r="182" spans="1:28">
      <c r="B182" s="142" t="s">
        <v>99</v>
      </c>
      <c r="C182" s="143" t="s">
        <v>38</v>
      </c>
      <c r="D182" s="142" t="s">
        <v>99</v>
      </c>
      <c r="E182" s="143" t="s">
        <v>38</v>
      </c>
      <c r="F182" s="138" t="s">
        <v>436</v>
      </c>
      <c r="G182" s="142" t="s">
        <v>99</v>
      </c>
      <c r="H182" s="143" t="s">
        <v>38</v>
      </c>
      <c r="I182" s="139" t="s">
        <v>99</v>
      </c>
      <c r="J182" s="140" t="s">
        <v>38</v>
      </c>
      <c r="K182" s="139" t="s">
        <v>99</v>
      </c>
      <c r="L182" s="140" t="s">
        <v>38</v>
      </c>
      <c r="M182" s="139" t="s">
        <v>99</v>
      </c>
      <c r="N182" s="140" t="s">
        <v>38</v>
      </c>
      <c r="O182" s="139" t="s">
        <v>99</v>
      </c>
      <c r="P182" s="140" t="s">
        <v>38</v>
      </c>
      <c r="Q182" s="139" t="s">
        <v>99</v>
      </c>
      <c r="R182" s="140" t="s">
        <v>38</v>
      </c>
      <c r="S182" s="116" t="s">
        <v>100</v>
      </c>
      <c r="T182" s="108"/>
      <c r="U182" s="108"/>
      <c r="V182" s="108"/>
      <c r="W182" s="108"/>
      <c r="X182" s="108"/>
      <c r="Y182" s="108"/>
      <c r="Z182" s="108"/>
      <c r="AA182" s="108"/>
      <c r="AB182" s="108"/>
    </row>
    <row r="183" spans="1:28">
      <c r="A183" s="118" t="s">
        <v>103</v>
      </c>
      <c r="B183" s="118" t="s">
        <v>33</v>
      </c>
      <c r="C183" s="118" t="s">
        <v>33</v>
      </c>
      <c r="D183" s="118" t="s">
        <v>33</v>
      </c>
      <c r="E183" s="118" t="s">
        <v>33</v>
      </c>
      <c r="F183" s="118" t="s">
        <v>33</v>
      </c>
      <c r="G183" s="120" t="s">
        <v>11</v>
      </c>
      <c r="H183" s="120" t="s">
        <v>11</v>
      </c>
      <c r="I183" s="120" t="s">
        <v>11</v>
      </c>
      <c r="J183" s="120" t="s">
        <v>11</v>
      </c>
      <c r="K183" s="120" t="s">
        <v>11</v>
      </c>
      <c r="L183" s="120" t="s">
        <v>11</v>
      </c>
      <c r="M183" s="120" t="s">
        <v>11</v>
      </c>
      <c r="N183" s="120" t="s">
        <v>11</v>
      </c>
      <c r="O183" s="120" t="s">
        <v>11</v>
      </c>
      <c r="P183" s="120" t="s">
        <v>11</v>
      </c>
      <c r="Q183" s="120" t="s">
        <v>11</v>
      </c>
      <c r="R183" s="120" t="s">
        <v>11</v>
      </c>
      <c r="T183" s="108"/>
      <c r="U183" s="108"/>
      <c r="V183" s="108"/>
      <c r="W183" s="108"/>
      <c r="X183" s="108"/>
      <c r="Y183" s="108"/>
      <c r="Z183" s="108"/>
      <c r="AA183" s="108"/>
      <c r="AB183" s="108"/>
    </row>
    <row r="184" spans="1:28">
      <c r="A184" s="120" t="s">
        <v>321</v>
      </c>
      <c r="T184" s="108"/>
      <c r="U184" s="108"/>
      <c r="V184" s="108"/>
      <c r="W184" s="108"/>
      <c r="X184" s="108"/>
      <c r="Y184" s="108"/>
      <c r="Z184" s="108"/>
      <c r="AA184" s="108"/>
      <c r="AB184" s="108"/>
    </row>
    <row r="185" spans="1:28">
      <c r="A185" s="118" t="s">
        <v>322</v>
      </c>
      <c r="B185" s="118" t="s">
        <v>111</v>
      </c>
      <c r="C185" s="118" t="s">
        <v>111</v>
      </c>
      <c r="D185" s="118" t="s">
        <v>202</v>
      </c>
      <c r="E185" s="118" t="s">
        <v>202</v>
      </c>
      <c r="F185" s="118" t="s">
        <v>130</v>
      </c>
      <c r="G185" s="122">
        <v>0.41799999999999998</v>
      </c>
      <c r="H185" s="122">
        <v>0.41799999999999998</v>
      </c>
      <c r="I185" s="122">
        <f t="shared" ref="I185:J208" si="35">$I$6*G185</f>
        <v>0.45980000000000004</v>
      </c>
      <c r="J185" s="122">
        <f t="shared" si="35"/>
        <v>0.45980000000000004</v>
      </c>
      <c r="K185" s="122">
        <f t="shared" ref="K185:L208" si="36">$K$6*G185</f>
        <v>0.52249999999999996</v>
      </c>
      <c r="L185" s="122">
        <f t="shared" si="36"/>
        <v>0.52249999999999996</v>
      </c>
      <c r="M185" s="122">
        <f t="shared" ref="M185:N208" si="37">$M$6*G185</f>
        <v>0.54339999999999999</v>
      </c>
      <c r="N185" s="122">
        <f t="shared" si="37"/>
        <v>0.54339999999999999</v>
      </c>
      <c r="O185" s="122">
        <f t="shared" ref="O185:P208" si="38">$O$6*G185</f>
        <v>0.58519999999999994</v>
      </c>
      <c r="P185" s="122">
        <f t="shared" si="38"/>
        <v>0.58519999999999994</v>
      </c>
      <c r="Q185" s="122">
        <f t="shared" ref="Q185:R208" si="39">$Q$6*G185</f>
        <v>0.627</v>
      </c>
      <c r="R185" s="122">
        <f t="shared" si="39"/>
        <v>0.627</v>
      </c>
      <c r="S185" s="119" t="s">
        <v>323</v>
      </c>
      <c r="T185" s="108"/>
      <c r="U185" s="108"/>
      <c r="V185" s="108"/>
      <c r="W185" s="108"/>
      <c r="X185" s="108"/>
      <c r="Y185" s="108"/>
      <c r="Z185" s="108"/>
      <c r="AA185" s="108"/>
      <c r="AB185" s="108"/>
    </row>
    <row r="186" spans="1:28">
      <c r="A186" s="118" t="s">
        <v>324</v>
      </c>
      <c r="B186" s="118" t="s">
        <v>111</v>
      </c>
      <c r="C186" s="118" t="s">
        <v>111</v>
      </c>
      <c r="D186" s="118" t="s">
        <v>133</v>
      </c>
      <c r="E186" s="118" t="s">
        <v>133</v>
      </c>
      <c r="F186" s="118" t="s">
        <v>130</v>
      </c>
      <c r="G186" s="122">
        <v>0.374</v>
      </c>
      <c r="H186" s="122">
        <v>0.374</v>
      </c>
      <c r="I186" s="122">
        <f t="shared" si="35"/>
        <v>0.41140000000000004</v>
      </c>
      <c r="J186" s="122">
        <f t="shared" si="35"/>
        <v>0.41140000000000004</v>
      </c>
      <c r="K186" s="122">
        <f t="shared" si="36"/>
        <v>0.46750000000000003</v>
      </c>
      <c r="L186" s="122">
        <f t="shared" si="36"/>
        <v>0.46750000000000003</v>
      </c>
      <c r="M186" s="122">
        <f t="shared" si="37"/>
        <v>0.48620000000000002</v>
      </c>
      <c r="N186" s="122">
        <f t="shared" si="37"/>
        <v>0.48620000000000002</v>
      </c>
      <c r="O186" s="122">
        <f t="shared" si="38"/>
        <v>0.52359999999999995</v>
      </c>
      <c r="P186" s="122">
        <f t="shared" si="38"/>
        <v>0.52359999999999995</v>
      </c>
      <c r="Q186" s="122">
        <f t="shared" si="39"/>
        <v>0.56099999999999994</v>
      </c>
      <c r="R186" s="122">
        <f t="shared" si="39"/>
        <v>0.56099999999999994</v>
      </c>
      <c r="S186" s="119" t="s">
        <v>325</v>
      </c>
      <c r="T186" s="108"/>
      <c r="U186" s="108"/>
      <c r="V186" s="108"/>
      <c r="W186" s="108"/>
      <c r="X186" s="108"/>
      <c r="Y186" s="108"/>
      <c r="Z186" s="108"/>
      <c r="AA186" s="108"/>
      <c r="AB186" s="108"/>
    </row>
    <row r="187" spans="1:28">
      <c r="A187" s="118" t="s">
        <v>326</v>
      </c>
      <c r="B187" s="118" t="s">
        <v>175</v>
      </c>
      <c r="C187" s="118" t="s">
        <v>175</v>
      </c>
      <c r="D187" s="118" t="s">
        <v>144</v>
      </c>
      <c r="E187" s="118" t="s">
        <v>144</v>
      </c>
      <c r="F187" s="118" t="s">
        <v>130</v>
      </c>
      <c r="G187" s="122">
        <v>0.433</v>
      </c>
      <c r="H187" s="122">
        <v>0.433</v>
      </c>
      <c r="I187" s="122">
        <f t="shared" si="35"/>
        <v>0.47630000000000006</v>
      </c>
      <c r="J187" s="122">
        <f t="shared" si="35"/>
        <v>0.47630000000000006</v>
      </c>
      <c r="K187" s="122">
        <f t="shared" si="36"/>
        <v>0.54125000000000001</v>
      </c>
      <c r="L187" s="122">
        <f t="shared" si="36"/>
        <v>0.54125000000000001</v>
      </c>
      <c r="M187" s="122">
        <f t="shared" si="37"/>
        <v>0.56290000000000007</v>
      </c>
      <c r="N187" s="122">
        <f t="shared" si="37"/>
        <v>0.56290000000000007</v>
      </c>
      <c r="O187" s="122">
        <f t="shared" si="38"/>
        <v>0.60619999999999996</v>
      </c>
      <c r="P187" s="122">
        <f t="shared" si="38"/>
        <v>0.60619999999999996</v>
      </c>
      <c r="Q187" s="122">
        <f t="shared" si="39"/>
        <v>0.64949999999999997</v>
      </c>
      <c r="R187" s="122">
        <f t="shared" si="39"/>
        <v>0.64949999999999997</v>
      </c>
      <c r="S187" s="119" t="s">
        <v>327</v>
      </c>
      <c r="T187" s="108"/>
      <c r="U187" s="108"/>
      <c r="V187" s="108"/>
      <c r="W187" s="108"/>
      <c r="X187" s="108"/>
      <c r="Y187" s="108"/>
      <c r="Z187" s="108"/>
      <c r="AA187" s="108"/>
      <c r="AB187" s="108"/>
    </row>
    <row r="188" spans="1:28" s="361" customFormat="1">
      <c r="A188" s="197" t="s">
        <v>328</v>
      </c>
      <c r="B188" s="197" t="s">
        <v>112</v>
      </c>
      <c r="C188" s="197" t="s">
        <v>112</v>
      </c>
      <c r="D188" s="197" t="s">
        <v>211</v>
      </c>
      <c r="E188" s="197" t="s">
        <v>211</v>
      </c>
      <c r="F188" s="197" t="s">
        <v>130</v>
      </c>
      <c r="G188" s="122">
        <v>0.38500000000000001</v>
      </c>
      <c r="H188" s="122">
        <v>0.38500000000000001</v>
      </c>
      <c r="I188" s="122">
        <f t="shared" si="35"/>
        <v>0.42350000000000004</v>
      </c>
      <c r="J188" s="122">
        <f t="shared" si="35"/>
        <v>0.42350000000000004</v>
      </c>
      <c r="K188" s="122">
        <f t="shared" si="36"/>
        <v>0.48125000000000001</v>
      </c>
      <c r="L188" s="122">
        <f t="shared" si="36"/>
        <v>0.48125000000000001</v>
      </c>
      <c r="M188" s="122">
        <f t="shared" si="37"/>
        <v>0.50050000000000006</v>
      </c>
      <c r="N188" s="122">
        <f t="shared" si="37"/>
        <v>0.50050000000000006</v>
      </c>
      <c r="O188" s="122">
        <f t="shared" si="38"/>
        <v>0.53899999999999992</v>
      </c>
      <c r="P188" s="122">
        <f t="shared" si="38"/>
        <v>0.53899999999999992</v>
      </c>
      <c r="Q188" s="122">
        <f t="shared" si="39"/>
        <v>0.57750000000000001</v>
      </c>
      <c r="R188" s="122">
        <f t="shared" si="39"/>
        <v>0.57750000000000001</v>
      </c>
      <c r="S188" s="196" t="s">
        <v>329</v>
      </c>
    </row>
    <row r="189" spans="1:28">
      <c r="A189" s="118" t="s">
        <v>330</v>
      </c>
      <c r="B189" s="118" t="s">
        <v>179</v>
      </c>
      <c r="C189" s="118" t="s">
        <v>179</v>
      </c>
      <c r="D189" s="118" t="s">
        <v>147</v>
      </c>
      <c r="E189" s="118" t="s">
        <v>147</v>
      </c>
      <c r="F189" s="118" t="s">
        <v>130</v>
      </c>
      <c r="G189" s="122">
        <v>0.42499999999999999</v>
      </c>
      <c r="H189" s="122">
        <v>0.42499999999999999</v>
      </c>
      <c r="I189" s="122">
        <f t="shared" si="35"/>
        <v>0.46750000000000003</v>
      </c>
      <c r="J189" s="122">
        <f t="shared" si="35"/>
        <v>0.46750000000000003</v>
      </c>
      <c r="K189" s="122">
        <f t="shared" si="36"/>
        <v>0.53125</v>
      </c>
      <c r="L189" s="122">
        <f t="shared" si="36"/>
        <v>0.53125</v>
      </c>
      <c r="M189" s="122">
        <f t="shared" si="37"/>
        <v>0.55249999999999999</v>
      </c>
      <c r="N189" s="122">
        <f t="shared" si="37"/>
        <v>0.55249999999999999</v>
      </c>
      <c r="O189" s="122">
        <f t="shared" si="38"/>
        <v>0.59499999999999997</v>
      </c>
      <c r="P189" s="122">
        <f t="shared" si="38"/>
        <v>0.59499999999999997</v>
      </c>
      <c r="Q189" s="122">
        <f t="shared" si="39"/>
        <v>0.63749999999999996</v>
      </c>
      <c r="R189" s="122">
        <f t="shared" si="39"/>
        <v>0.63749999999999996</v>
      </c>
      <c r="S189" s="119" t="s">
        <v>331</v>
      </c>
      <c r="T189" s="108"/>
      <c r="U189" s="108"/>
      <c r="V189" s="108"/>
      <c r="W189" s="108"/>
      <c r="X189" s="108"/>
      <c r="Y189" s="108"/>
      <c r="Z189" s="108"/>
      <c r="AA189" s="108"/>
      <c r="AB189" s="108"/>
    </row>
    <row r="190" spans="1:28">
      <c r="A190" s="118" t="s">
        <v>332</v>
      </c>
      <c r="B190" s="118" t="s">
        <v>213</v>
      </c>
      <c r="C190" s="118" t="s">
        <v>213</v>
      </c>
      <c r="D190" s="118" t="s">
        <v>214</v>
      </c>
      <c r="E190" s="118" t="s">
        <v>214</v>
      </c>
      <c r="F190" s="118" t="s">
        <v>130</v>
      </c>
      <c r="G190" s="122">
        <v>0.39</v>
      </c>
      <c r="H190" s="122">
        <v>0.39</v>
      </c>
      <c r="I190" s="122">
        <f t="shared" si="35"/>
        <v>0.42900000000000005</v>
      </c>
      <c r="J190" s="122">
        <f t="shared" si="35"/>
        <v>0.42900000000000005</v>
      </c>
      <c r="K190" s="122">
        <f t="shared" si="36"/>
        <v>0.48750000000000004</v>
      </c>
      <c r="L190" s="122">
        <f t="shared" si="36"/>
        <v>0.48750000000000004</v>
      </c>
      <c r="M190" s="122">
        <f t="shared" si="37"/>
        <v>0.50700000000000001</v>
      </c>
      <c r="N190" s="122">
        <f t="shared" si="37"/>
        <v>0.50700000000000001</v>
      </c>
      <c r="O190" s="122">
        <f t="shared" si="38"/>
        <v>0.54599999999999993</v>
      </c>
      <c r="P190" s="122">
        <f t="shared" si="38"/>
        <v>0.54599999999999993</v>
      </c>
      <c r="Q190" s="122">
        <f t="shared" si="39"/>
        <v>0.58499999999999996</v>
      </c>
      <c r="R190" s="122">
        <f t="shared" si="39"/>
        <v>0.58499999999999996</v>
      </c>
      <c r="S190" s="119" t="s">
        <v>333</v>
      </c>
      <c r="T190" s="108"/>
      <c r="U190" s="108"/>
      <c r="V190" s="108"/>
      <c r="W190" s="108"/>
      <c r="X190" s="108"/>
      <c r="Y190" s="108"/>
      <c r="Z190" s="108"/>
      <c r="AA190" s="108"/>
      <c r="AB190" s="108"/>
    </row>
    <row r="191" spans="1:28">
      <c r="A191" s="118" t="s">
        <v>334</v>
      </c>
      <c r="B191" s="118" t="s">
        <v>169</v>
      </c>
      <c r="C191" s="118" t="s">
        <v>169</v>
      </c>
      <c r="D191" s="118" t="s">
        <v>128</v>
      </c>
      <c r="E191" s="118" t="s">
        <v>128</v>
      </c>
      <c r="F191" s="118" t="s">
        <v>130</v>
      </c>
      <c r="G191" s="122">
        <v>0.45</v>
      </c>
      <c r="H191" s="122">
        <v>0.45</v>
      </c>
      <c r="I191" s="122">
        <f t="shared" si="35"/>
        <v>0.49500000000000005</v>
      </c>
      <c r="J191" s="122">
        <f t="shared" si="35"/>
        <v>0.49500000000000005</v>
      </c>
      <c r="K191" s="122">
        <f t="shared" si="36"/>
        <v>0.5625</v>
      </c>
      <c r="L191" s="122">
        <f t="shared" si="36"/>
        <v>0.5625</v>
      </c>
      <c r="M191" s="122">
        <f t="shared" si="37"/>
        <v>0.58500000000000008</v>
      </c>
      <c r="N191" s="122">
        <f t="shared" si="37"/>
        <v>0.58500000000000008</v>
      </c>
      <c r="O191" s="122">
        <f t="shared" si="38"/>
        <v>0.63</v>
      </c>
      <c r="P191" s="122">
        <f t="shared" si="38"/>
        <v>0.63</v>
      </c>
      <c r="Q191" s="122">
        <f t="shared" si="39"/>
        <v>0.67500000000000004</v>
      </c>
      <c r="R191" s="122">
        <f t="shared" si="39"/>
        <v>0.67500000000000004</v>
      </c>
      <c r="S191" s="119" t="s">
        <v>335</v>
      </c>
      <c r="T191" s="108"/>
      <c r="U191" s="108"/>
      <c r="V191" s="108"/>
      <c r="W191" s="108"/>
      <c r="X191" s="108"/>
      <c r="Y191" s="108"/>
      <c r="Z191" s="108"/>
      <c r="AA191" s="108"/>
      <c r="AB191" s="108"/>
    </row>
    <row r="192" spans="1:28">
      <c r="A192" s="118" t="s">
        <v>336</v>
      </c>
      <c r="B192" s="118" t="s">
        <v>149</v>
      </c>
      <c r="C192" s="118" t="s">
        <v>149</v>
      </c>
      <c r="D192" s="118" t="s">
        <v>128</v>
      </c>
      <c r="E192" s="118" t="s">
        <v>128</v>
      </c>
      <c r="F192" s="118" t="s">
        <v>130</v>
      </c>
      <c r="G192" s="122">
        <v>0.40500000000000003</v>
      </c>
      <c r="H192" s="122">
        <v>0.40500000000000003</v>
      </c>
      <c r="I192" s="122">
        <f t="shared" si="35"/>
        <v>0.44550000000000006</v>
      </c>
      <c r="J192" s="122">
        <f t="shared" si="35"/>
        <v>0.44550000000000006</v>
      </c>
      <c r="K192" s="122">
        <f t="shared" si="36"/>
        <v>0.50625000000000009</v>
      </c>
      <c r="L192" s="122">
        <f t="shared" si="36"/>
        <v>0.50625000000000009</v>
      </c>
      <c r="M192" s="122">
        <f t="shared" si="37"/>
        <v>0.52650000000000008</v>
      </c>
      <c r="N192" s="122">
        <f t="shared" si="37"/>
        <v>0.52650000000000008</v>
      </c>
      <c r="O192" s="122">
        <f t="shared" si="38"/>
        <v>0.56699999999999995</v>
      </c>
      <c r="P192" s="122">
        <f t="shared" si="38"/>
        <v>0.56699999999999995</v>
      </c>
      <c r="Q192" s="122">
        <f t="shared" si="39"/>
        <v>0.60750000000000004</v>
      </c>
      <c r="R192" s="122">
        <f t="shared" si="39"/>
        <v>0.60750000000000004</v>
      </c>
      <c r="S192" s="119" t="s">
        <v>337</v>
      </c>
      <c r="T192" s="108"/>
      <c r="U192" s="108"/>
      <c r="V192" s="108"/>
      <c r="W192" s="108"/>
      <c r="X192" s="108"/>
      <c r="Y192" s="108"/>
      <c r="Z192" s="108"/>
      <c r="AA192" s="108"/>
      <c r="AB192" s="108"/>
    </row>
    <row r="193" spans="1:28">
      <c r="A193" s="118" t="s">
        <v>338</v>
      </c>
      <c r="B193" s="118" t="s">
        <v>167</v>
      </c>
      <c r="C193" s="118" t="s">
        <v>167</v>
      </c>
      <c r="D193" s="118" t="s">
        <v>217</v>
      </c>
      <c r="E193" s="118" t="s">
        <v>217</v>
      </c>
      <c r="F193" s="118" t="s">
        <v>130</v>
      </c>
      <c r="G193" s="122">
        <v>0.40500000000000003</v>
      </c>
      <c r="H193" s="122">
        <v>0.40500000000000003</v>
      </c>
      <c r="I193" s="122">
        <f t="shared" si="35"/>
        <v>0.44550000000000006</v>
      </c>
      <c r="J193" s="122">
        <f t="shared" si="35"/>
        <v>0.44550000000000006</v>
      </c>
      <c r="K193" s="122">
        <f t="shared" si="36"/>
        <v>0.50625000000000009</v>
      </c>
      <c r="L193" s="122">
        <f t="shared" si="36"/>
        <v>0.50625000000000009</v>
      </c>
      <c r="M193" s="122">
        <f t="shared" si="37"/>
        <v>0.52650000000000008</v>
      </c>
      <c r="N193" s="122">
        <f t="shared" si="37"/>
        <v>0.52650000000000008</v>
      </c>
      <c r="O193" s="122">
        <f t="shared" si="38"/>
        <v>0.56699999999999995</v>
      </c>
      <c r="P193" s="122">
        <f t="shared" si="38"/>
        <v>0.56699999999999995</v>
      </c>
      <c r="Q193" s="122">
        <f t="shared" si="39"/>
        <v>0.60750000000000004</v>
      </c>
      <c r="R193" s="122">
        <f t="shared" si="39"/>
        <v>0.60750000000000004</v>
      </c>
      <c r="S193" s="119" t="s">
        <v>339</v>
      </c>
      <c r="T193" s="108"/>
      <c r="U193" s="108"/>
      <c r="V193" s="108"/>
      <c r="W193" s="108"/>
      <c r="X193" s="108"/>
      <c r="Y193" s="108"/>
      <c r="Z193" s="108"/>
      <c r="AA193" s="108"/>
      <c r="AB193" s="108"/>
    </row>
    <row r="194" spans="1:28">
      <c r="A194" s="118" t="s">
        <v>340</v>
      </c>
      <c r="B194" s="118" t="s">
        <v>207</v>
      </c>
      <c r="C194" s="118" t="s">
        <v>207</v>
      </c>
      <c r="D194" s="118" t="s">
        <v>140</v>
      </c>
      <c r="E194" s="118" t="s">
        <v>140</v>
      </c>
      <c r="F194" s="118" t="s">
        <v>130</v>
      </c>
      <c r="G194" s="122">
        <v>0.44500000000000001</v>
      </c>
      <c r="H194" s="122">
        <v>0.44500000000000001</v>
      </c>
      <c r="I194" s="122">
        <f t="shared" si="35"/>
        <v>0.48950000000000005</v>
      </c>
      <c r="J194" s="122">
        <f t="shared" si="35"/>
        <v>0.48950000000000005</v>
      </c>
      <c r="K194" s="122">
        <f t="shared" si="36"/>
        <v>0.55625000000000002</v>
      </c>
      <c r="L194" s="122">
        <f t="shared" si="36"/>
        <v>0.55625000000000002</v>
      </c>
      <c r="M194" s="122">
        <f t="shared" si="37"/>
        <v>0.57850000000000001</v>
      </c>
      <c r="N194" s="122">
        <f t="shared" si="37"/>
        <v>0.57850000000000001</v>
      </c>
      <c r="O194" s="122">
        <f t="shared" si="38"/>
        <v>0.623</v>
      </c>
      <c r="P194" s="122">
        <f t="shared" si="38"/>
        <v>0.623</v>
      </c>
      <c r="Q194" s="122">
        <f t="shared" si="39"/>
        <v>0.66749999999999998</v>
      </c>
      <c r="R194" s="122">
        <f t="shared" si="39"/>
        <v>0.66749999999999998</v>
      </c>
      <c r="S194" s="119" t="s">
        <v>341</v>
      </c>
      <c r="T194" s="108"/>
      <c r="U194" s="108"/>
      <c r="V194" s="108"/>
      <c r="W194" s="108"/>
      <c r="X194" s="108"/>
      <c r="Y194" s="108"/>
      <c r="Z194" s="108"/>
      <c r="AA194" s="108"/>
      <c r="AB194" s="108"/>
    </row>
    <row r="195" spans="1:28">
      <c r="A195" s="118" t="s">
        <v>342</v>
      </c>
      <c r="B195" s="118" t="s">
        <v>219</v>
      </c>
      <c r="C195" s="118" t="s">
        <v>219</v>
      </c>
      <c r="D195" s="118" t="s">
        <v>134</v>
      </c>
      <c r="E195" s="118" t="s">
        <v>134</v>
      </c>
      <c r="F195" s="118" t="s">
        <v>130</v>
      </c>
      <c r="G195" s="122">
        <v>0.42399999999999999</v>
      </c>
      <c r="H195" s="122">
        <v>0.42399999999999999</v>
      </c>
      <c r="I195" s="122">
        <f t="shared" si="35"/>
        <v>0.46640000000000004</v>
      </c>
      <c r="J195" s="122">
        <f t="shared" si="35"/>
        <v>0.46640000000000004</v>
      </c>
      <c r="K195" s="122">
        <f t="shared" si="36"/>
        <v>0.53</v>
      </c>
      <c r="L195" s="122">
        <f t="shared" si="36"/>
        <v>0.53</v>
      </c>
      <c r="M195" s="122">
        <f t="shared" si="37"/>
        <v>0.55120000000000002</v>
      </c>
      <c r="N195" s="122">
        <f t="shared" si="37"/>
        <v>0.55120000000000002</v>
      </c>
      <c r="O195" s="122">
        <f t="shared" si="38"/>
        <v>0.59359999999999991</v>
      </c>
      <c r="P195" s="122">
        <f t="shared" si="38"/>
        <v>0.59359999999999991</v>
      </c>
      <c r="Q195" s="122">
        <f t="shared" si="39"/>
        <v>0.63600000000000001</v>
      </c>
      <c r="R195" s="122">
        <f t="shared" si="39"/>
        <v>0.63600000000000001</v>
      </c>
      <c r="S195" s="119" t="s">
        <v>343</v>
      </c>
      <c r="T195" s="108"/>
      <c r="U195" s="108"/>
      <c r="V195" s="108"/>
      <c r="W195" s="108"/>
      <c r="X195" s="108"/>
      <c r="Y195" s="108"/>
      <c r="Z195" s="108"/>
      <c r="AA195" s="108"/>
      <c r="AB195" s="108"/>
    </row>
    <row r="196" spans="1:28">
      <c r="A196" s="118" t="s">
        <v>344</v>
      </c>
      <c r="B196" s="118" t="s">
        <v>140</v>
      </c>
      <c r="C196" s="118" t="s">
        <v>140</v>
      </c>
      <c r="D196" s="118" t="s">
        <v>345</v>
      </c>
      <c r="E196" s="118" t="s">
        <v>345</v>
      </c>
      <c r="F196" s="118" t="s">
        <v>130</v>
      </c>
      <c r="G196" s="122">
        <v>0.34100000000000003</v>
      </c>
      <c r="H196" s="122">
        <v>0.34100000000000003</v>
      </c>
      <c r="I196" s="122">
        <f t="shared" si="35"/>
        <v>0.37510000000000004</v>
      </c>
      <c r="J196" s="122">
        <f t="shared" si="35"/>
        <v>0.37510000000000004</v>
      </c>
      <c r="K196" s="122">
        <f t="shared" si="36"/>
        <v>0.42625000000000002</v>
      </c>
      <c r="L196" s="122">
        <f t="shared" si="36"/>
        <v>0.42625000000000002</v>
      </c>
      <c r="M196" s="122">
        <f t="shared" si="37"/>
        <v>0.44330000000000003</v>
      </c>
      <c r="N196" s="122">
        <f t="shared" si="37"/>
        <v>0.44330000000000003</v>
      </c>
      <c r="O196" s="122">
        <f t="shared" si="38"/>
        <v>0.47739999999999999</v>
      </c>
      <c r="P196" s="122">
        <f t="shared" si="38"/>
        <v>0.47739999999999999</v>
      </c>
      <c r="Q196" s="122">
        <f t="shared" si="39"/>
        <v>0.51150000000000007</v>
      </c>
      <c r="R196" s="122">
        <f t="shared" si="39"/>
        <v>0.51150000000000007</v>
      </c>
      <c r="S196" s="119" t="s">
        <v>346</v>
      </c>
      <c r="T196" s="108"/>
      <c r="U196" s="108"/>
      <c r="V196" s="108"/>
      <c r="W196" s="108"/>
      <c r="X196" s="108"/>
      <c r="Y196" s="108"/>
      <c r="Z196" s="108"/>
      <c r="AA196" s="108"/>
      <c r="AB196" s="108"/>
    </row>
    <row r="197" spans="1:28">
      <c r="A197" s="118" t="s">
        <v>347</v>
      </c>
      <c r="B197" s="118" t="s">
        <v>146</v>
      </c>
      <c r="C197" s="118" t="s">
        <v>146</v>
      </c>
      <c r="D197" s="118" t="s">
        <v>159</v>
      </c>
      <c r="E197" s="118" t="s">
        <v>159</v>
      </c>
      <c r="F197" s="118" t="s">
        <v>130</v>
      </c>
      <c r="G197" s="122">
        <v>0.35599999999999998</v>
      </c>
      <c r="H197" s="122">
        <v>0.35599999999999998</v>
      </c>
      <c r="I197" s="122">
        <f t="shared" si="35"/>
        <v>0.3916</v>
      </c>
      <c r="J197" s="122">
        <f t="shared" si="35"/>
        <v>0.3916</v>
      </c>
      <c r="K197" s="122">
        <f t="shared" si="36"/>
        <v>0.44499999999999995</v>
      </c>
      <c r="L197" s="122">
        <f t="shared" si="36"/>
        <v>0.44499999999999995</v>
      </c>
      <c r="M197" s="122">
        <f t="shared" si="37"/>
        <v>0.46279999999999999</v>
      </c>
      <c r="N197" s="122">
        <f t="shared" si="37"/>
        <v>0.46279999999999999</v>
      </c>
      <c r="O197" s="122">
        <f t="shared" si="38"/>
        <v>0.49839999999999995</v>
      </c>
      <c r="P197" s="122">
        <f t="shared" si="38"/>
        <v>0.49839999999999995</v>
      </c>
      <c r="Q197" s="122">
        <f t="shared" si="39"/>
        <v>0.53400000000000003</v>
      </c>
      <c r="R197" s="122">
        <f t="shared" si="39"/>
        <v>0.53400000000000003</v>
      </c>
      <c r="S197" s="119" t="s">
        <v>348</v>
      </c>
      <c r="T197" s="108"/>
      <c r="U197" s="108"/>
      <c r="V197" s="108"/>
      <c r="W197" s="108"/>
      <c r="X197" s="108"/>
      <c r="Y197" s="108"/>
      <c r="Z197" s="108"/>
      <c r="AA197" s="108"/>
      <c r="AB197" s="108"/>
    </row>
    <row r="198" spans="1:28">
      <c r="A198" s="118" t="s">
        <v>349</v>
      </c>
      <c r="B198" s="118" t="s">
        <v>350</v>
      </c>
      <c r="C198" s="118" t="s">
        <v>350</v>
      </c>
      <c r="D198" s="118" t="s">
        <v>152</v>
      </c>
      <c r="E198" s="118" t="s">
        <v>152</v>
      </c>
      <c r="F198" s="118" t="s">
        <v>130</v>
      </c>
      <c r="G198" s="122">
        <v>0.33500000000000002</v>
      </c>
      <c r="H198" s="122">
        <v>0.33500000000000002</v>
      </c>
      <c r="I198" s="122">
        <f t="shared" si="35"/>
        <v>0.36850000000000005</v>
      </c>
      <c r="J198" s="122">
        <f t="shared" si="35"/>
        <v>0.36850000000000005</v>
      </c>
      <c r="K198" s="122">
        <f t="shared" si="36"/>
        <v>0.41875000000000001</v>
      </c>
      <c r="L198" s="122">
        <f t="shared" si="36"/>
        <v>0.41875000000000001</v>
      </c>
      <c r="M198" s="122">
        <f t="shared" si="37"/>
        <v>0.43550000000000005</v>
      </c>
      <c r="N198" s="122">
        <f t="shared" si="37"/>
        <v>0.43550000000000005</v>
      </c>
      <c r="O198" s="122">
        <f t="shared" si="38"/>
        <v>0.46899999999999997</v>
      </c>
      <c r="P198" s="122">
        <f t="shared" si="38"/>
        <v>0.46899999999999997</v>
      </c>
      <c r="Q198" s="122">
        <f t="shared" si="39"/>
        <v>0.50250000000000006</v>
      </c>
      <c r="R198" s="122">
        <f t="shared" si="39"/>
        <v>0.50250000000000006</v>
      </c>
      <c r="S198" s="119" t="s">
        <v>351</v>
      </c>
      <c r="T198" s="108"/>
      <c r="U198" s="108"/>
      <c r="V198" s="108"/>
      <c r="W198" s="108"/>
      <c r="X198" s="108"/>
      <c r="Y198" s="108"/>
      <c r="Z198" s="108"/>
      <c r="AA198" s="108"/>
      <c r="AB198" s="108"/>
    </row>
    <row r="199" spans="1:28">
      <c r="A199" s="118" t="s">
        <v>352</v>
      </c>
      <c r="B199" s="118" t="s">
        <v>255</v>
      </c>
      <c r="C199" s="118" t="s">
        <v>255</v>
      </c>
      <c r="D199" s="118" t="s">
        <v>353</v>
      </c>
      <c r="E199" s="118" t="s">
        <v>353</v>
      </c>
      <c r="F199" s="118" t="s">
        <v>130</v>
      </c>
      <c r="G199" s="122">
        <v>0.38</v>
      </c>
      <c r="H199" s="122">
        <v>0.38</v>
      </c>
      <c r="I199" s="122">
        <f t="shared" si="35"/>
        <v>0.41800000000000004</v>
      </c>
      <c r="J199" s="122">
        <f t="shared" si="35"/>
        <v>0.41800000000000004</v>
      </c>
      <c r="K199" s="122">
        <f t="shared" si="36"/>
        <v>0.47499999999999998</v>
      </c>
      <c r="L199" s="122">
        <f t="shared" si="36"/>
        <v>0.47499999999999998</v>
      </c>
      <c r="M199" s="122">
        <f t="shared" si="37"/>
        <v>0.49400000000000005</v>
      </c>
      <c r="N199" s="122">
        <f t="shared" si="37"/>
        <v>0.49400000000000005</v>
      </c>
      <c r="O199" s="122">
        <f t="shared" si="38"/>
        <v>0.53199999999999992</v>
      </c>
      <c r="P199" s="122">
        <f t="shared" si="38"/>
        <v>0.53199999999999992</v>
      </c>
      <c r="Q199" s="122">
        <f t="shared" si="39"/>
        <v>0.57000000000000006</v>
      </c>
      <c r="R199" s="122">
        <f t="shared" si="39"/>
        <v>0.57000000000000006</v>
      </c>
      <c r="S199" s="119" t="s">
        <v>354</v>
      </c>
      <c r="T199" s="108"/>
      <c r="U199" s="108"/>
      <c r="V199" s="108"/>
      <c r="W199" s="108"/>
      <c r="X199" s="108"/>
      <c r="Y199" s="108"/>
      <c r="Z199" s="108"/>
      <c r="AA199" s="108"/>
      <c r="AB199" s="108"/>
    </row>
    <row r="200" spans="1:28">
      <c r="A200" s="118" t="s">
        <v>355</v>
      </c>
      <c r="B200" s="118" t="s">
        <v>121</v>
      </c>
      <c r="C200" s="118" t="s">
        <v>121</v>
      </c>
      <c r="D200" s="118" t="s">
        <v>40</v>
      </c>
      <c r="E200" s="118" t="s">
        <v>40</v>
      </c>
      <c r="F200" s="118" t="s">
        <v>130</v>
      </c>
      <c r="G200" s="122">
        <v>0.378</v>
      </c>
      <c r="H200" s="122">
        <v>0.378</v>
      </c>
      <c r="I200" s="122">
        <f t="shared" si="35"/>
        <v>0.41580000000000006</v>
      </c>
      <c r="J200" s="122">
        <f t="shared" si="35"/>
        <v>0.41580000000000006</v>
      </c>
      <c r="K200" s="122">
        <f t="shared" si="36"/>
        <v>0.47250000000000003</v>
      </c>
      <c r="L200" s="122">
        <f t="shared" si="36"/>
        <v>0.47250000000000003</v>
      </c>
      <c r="M200" s="122">
        <f t="shared" si="37"/>
        <v>0.4914</v>
      </c>
      <c r="N200" s="122">
        <f t="shared" si="37"/>
        <v>0.4914</v>
      </c>
      <c r="O200" s="122">
        <f t="shared" si="38"/>
        <v>0.5292</v>
      </c>
      <c r="P200" s="122">
        <f t="shared" si="38"/>
        <v>0.5292</v>
      </c>
      <c r="Q200" s="122">
        <f t="shared" si="39"/>
        <v>0.56699999999999995</v>
      </c>
      <c r="R200" s="122">
        <f t="shared" si="39"/>
        <v>0.56699999999999995</v>
      </c>
      <c r="S200" s="119" t="s">
        <v>356</v>
      </c>
      <c r="T200" s="108"/>
      <c r="U200" s="108"/>
      <c r="V200" s="108"/>
      <c r="W200" s="108"/>
      <c r="X200" s="108"/>
      <c r="Y200" s="108"/>
      <c r="Z200" s="108"/>
      <c r="AA200" s="108"/>
      <c r="AB200" s="108"/>
    </row>
    <row r="201" spans="1:28" ht="20">
      <c r="A201" s="118" t="s">
        <v>357</v>
      </c>
      <c r="B201" s="118" t="s">
        <v>168</v>
      </c>
      <c r="C201" s="118" t="s">
        <v>168</v>
      </c>
      <c r="D201" s="118" t="s">
        <v>111</v>
      </c>
      <c r="E201" s="118" t="s">
        <v>111</v>
      </c>
      <c r="F201" s="118" t="s">
        <v>130</v>
      </c>
      <c r="G201" s="122">
        <v>0.39</v>
      </c>
      <c r="H201" s="122">
        <v>0.39</v>
      </c>
      <c r="I201" s="122">
        <f t="shared" si="35"/>
        <v>0.42900000000000005</v>
      </c>
      <c r="J201" s="122">
        <f t="shared" si="35"/>
        <v>0.42900000000000005</v>
      </c>
      <c r="K201" s="122">
        <f t="shared" si="36"/>
        <v>0.48750000000000004</v>
      </c>
      <c r="L201" s="122">
        <f t="shared" si="36"/>
        <v>0.48750000000000004</v>
      </c>
      <c r="M201" s="122">
        <f t="shared" si="37"/>
        <v>0.50700000000000001</v>
      </c>
      <c r="N201" s="122">
        <f t="shared" si="37"/>
        <v>0.50700000000000001</v>
      </c>
      <c r="O201" s="122">
        <f t="shared" si="38"/>
        <v>0.54599999999999993</v>
      </c>
      <c r="P201" s="122">
        <f t="shared" si="38"/>
        <v>0.54599999999999993</v>
      </c>
      <c r="Q201" s="122">
        <f t="shared" si="39"/>
        <v>0.58499999999999996</v>
      </c>
      <c r="R201" s="122">
        <f t="shared" si="39"/>
        <v>0.58499999999999996</v>
      </c>
      <c r="S201" s="119" t="s">
        <v>409</v>
      </c>
      <c r="T201" s="108"/>
      <c r="U201" s="108"/>
      <c r="V201" s="108"/>
      <c r="W201" s="108"/>
      <c r="X201" s="108"/>
      <c r="Y201" s="108"/>
      <c r="Z201" s="108"/>
      <c r="AA201" s="108"/>
      <c r="AB201" s="108"/>
    </row>
    <row r="202" spans="1:28" ht="20">
      <c r="A202" s="118" t="s">
        <v>358</v>
      </c>
      <c r="B202" s="118" t="s">
        <v>359</v>
      </c>
      <c r="C202" s="118" t="s">
        <v>359</v>
      </c>
      <c r="D202" s="118" t="s">
        <v>145</v>
      </c>
      <c r="E202" s="118" t="s">
        <v>145</v>
      </c>
      <c r="F202" s="118" t="s">
        <v>130</v>
      </c>
      <c r="G202" s="122">
        <v>0.41099999999999998</v>
      </c>
      <c r="H202" s="122">
        <v>0.41099999999999998</v>
      </c>
      <c r="I202" s="122">
        <f t="shared" si="35"/>
        <v>0.4521</v>
      </c>
      <c r="J202" s="122">
        <f t="shared" si="35"/>
        <v>0.4521</v>
      </c>
      <c r="K202" s="122">
        <f t="shared" si="36"/>
        <v>0.51374999999999993</v>
      </c>
      <c r="L202" s="122">
        <f t="shared" si="36"/>
        <v>0.51374999999999993</v>
      </c>
      <c r="M202" s="122">
        <f t="shared" si="37"/>
        <v>0.5343</v>
      </c>
      <c r="N202" s="122">
        <f t="shared" si="37"/>
        <v>0.5343</v>
      </c>
      <c r="O202" s="122">
        <f t="shared" si="38"/>
        <v>0.57539999999999991</v>
      </c>
      <c r="P202" s="122">
        <f t="shared" si="38"/>
        <v>0.57539999999999991</v>
      </c>
      <c r="Q202" s="122">
        <f t="shared" si="39"/>
        <v>0.61649999999999994</v>
      </c>
      <c r="R202" s="122">
        <f t="shared" si="39"/>
        <v>0.61649999999999994</v>
      </c>
      <c r="S202" s="119" t="s">
        <v>410</v>
      </c>
      <c r="T202" s="108"/>
      <c r="U202" s="108"/>
      <c r="V202" s="108"/>
      <c r="W202" s="108"/>
      <c r="X202" s="108"/>
      <c r="Y202" s="108"/>
      <c r="Z202" s="108"/>
      <c r="AA202" s="108"/>
      <c r="AB202" s="108"/>
    </row>
    <row r="203" spans="1:28" ht="20">
      <c r="A203" s="118" t="s">
        <v>360</v>
      </c>
      <c r="B203" s="118" t="s">
        <v>170</v>
      </c>
      <c r="C203" s="118" t="s">
        <v>170</v>
      </c>
      <c r="D203" s="118" t="s">
        <v>145</v>
      </c>
      <c r="E203" s="118" t="s">
        <v>145</v>
      </c>
      <c r="F203" s="118" t="s">
        <v>130</v>
      </c>
      <c r="G203" s="122">
        <v>0.42899999999999999</v>
      </c>
      <c r="H203" s="122">
        <v>0.42899999999999999</v>
      </c>
      <c r="I203" s="122">
        <f t="shared" si="35"/>
        <v>0.47190000000000004</v>
      </c>
      <c r="J203" s="122">
        <f t="shared" si="35"/>
        <v>0.47190000000000004</v>
      </c>
      <c r="K203" s="122">
        <f t="shared" si="36"/>
        <v>0.53625</v>
      </c>
      <c r="L203" s="122">
        <f t="shared" si="36"/>
        <v>0.53625</v>
      </c>
      <c r="M203" s="122">
        <f t="shared" si="37"/>
        <v>0.55769999999999997</v>
      </c>
      <c r="N203" s="122">
        <f t="shared" si="37"/>
        <v>0.55769999999999997</v>
      </c>
      <c r="O203" s="122">
        <f t="shared" si="38"/>
        <v>0.60059999999999991</v>
      </c>
      <c r="P203" s="122">
        <f t="shared" si="38"/>
        <v>0.60059999999999991</v>
      </c>
      <c r="Q203" s="122">
        <f t="shared" si="39"/>
        <v>0.64349999999999996</v>
      </c>
      <c r="R203" s="122">
        <f t="shared" si="39"/>
        <v>0.64349999999999996</v>
      </c>
      <c r="S203" s="119" t="s">
        <v>411</v>
      </c>
      <c r="T203" s="108"/>
      <c r="U203" s="108"/>
      <c r="V203" s="108"/>
      <c r="W203" s="108"/>
      <c r="X203" s="108"/>
      <c r="Y203" s="108"/>
      <c r="Z203" s="108"/>
      <c r="AA203" s="108"/>
      <c r="AB203" s="108"/>
    </row>
    <row r="204" spans="1:28">
      <c r="A204" s="118" t="s">
        <v>361</v>
      </c>
      <c r="B204" s="118" t="s">
        <v>170</v>
      </c>
      <c r="C204" s="118" t="s">
        <v>170</v>
      </c>
      <c r="D204" s="118" t="s">
        <v>236</v>
      </c>
      <c r="E204" s="118" t="s">
        <v>236</v>
      </c>
      <c r="F204" s="118" t="s">
        <v>130</v>
      </c>
      <c r="G204" s="122">
        <v>0.436</v>
      </c>
      <c r="H204" s="122">
        <v>0.436</v>
      </c>
      <c r="I204" s="122">
        <f t="shared" si="35"/>
        <v>0.47960000000000003</v>
      </c>
      <c r="J204" s="122">
        <f t="shared" si="35"/>
        <v>0.47960000000000003</v>
      </c>
      <c r="K204" s="122">
        <f t="shared" si="36"/>
        <v>0.54500000000000004</v>
      </c>
      <c r="L204" s="122">
        <f t="shared" si="36"/>
        <v>0.54500000000000004</v>
      </c>
      <c r="M204" s="122">
        <f t="shared" si="37"/>
        <v>0.56679999999999997</v>
      </c>
      <c r="N204" s="122">
        <f t="shared" si="37"/>
        <v>0.56679999999999997</v>
      </c>
      <c r="O204" s="122">
        <f t="shared" si="38"/>
        <v>0.61039999999999994</v>
      </c>
      <c r="P204" s="122">
        <f t="shared" si="38"/>
        <v>0.61039999999999994</v>
      </c>
      <c r="Q204" s="122">
        <f t="shared" si="39"/>
        <v>0.65400000000000003</v>
      </c>
      <c r="R204" s="122">
        <f t="shared" si="39"/>
        <v>0.65400000000000003</v>
      </c>
      <c r="S204" s="119" t="s">
        <v>362</v>
      </c>
      <c r="T204" s="108"/>
      <c r="U204" s="108"/>
      <c r="V204" s="108"/>
      <c r="W204" s="108"/>
      <c r="X204" s="108"/>
      <c r="Y204" s="108"/>
      <c r="Z204" s="108"/>
      <c r="AA204" s="108"/>
      <c r="AB204" s="108"/>
    </row>
    <row r="205" spans="1:28" ht="20">
      <c r="A205" s="118" t="s">
        <v>363</v>
      </c>
      <c r="B205" s="118" t="s">
        <v>178</v>
      </c>
      <c r="C205" s="118" t="s">
        <v>178</v>
      </c>
      <c r="D205" s="118" t="s">
        <v>364</v>
      </c>
      <c r="E205" s="118" t="s">
        <v>364</v>
      </c>
      <c r="F205" s="118" t="s">
        <v>130</v>
      </c>
      <c r="G205" s="122">
        <v>0.44</v>
      </c>
      <c r="H205" s="122">
        <v>0.44</v>
      </c>
      <c r="I205" s="122">
        <f t="shared" si="35"/>
        <v>0.48400000000000004</v>
      </c>
      <c r="J205" s="122">
        <f t="shared" si="35"/>
        <v>0.48400000000000004</v>
      </c>
      <c r="K205" s="122">
        <f t="shared" si="36"/>
        <v>0.55000000000000004</v>
      </c>
      <c r="L205" s="122">
        <f t="shared" si="36"/>
        <v>0.55000000000000004</v>
      </c>
      <c r="M205" s="122">
        <f t="shared" si="37"/>
        <v>0.57200000000000006</v>
      </c>
      <c r="N205" s="122">
        <f t="shared" si="37"/>
        <v>0.57200000000000006</v>
      </c>
      <c r="O205" s="122">
        <f t="shared" si="38"/>
        <v>0.61599999999999999</v>
      </c>
      <c r="P205" s="122">
        <f t="shared" si="38"/>
        <v>0.61599999999999999</v>
      </c>
      <c r="Q205" s="122">
        <f t="shared" si="39"/>
        <v>0.66</v>
      </c>
      <c r="R205" s="122">
        <f t="shared" si="39"/>
        <v>0.66</v>
      </c>
      <c r="S205" s="119" t="s">
        <v>412</v>
      </c>
      <c r="T205" s="108"/>
      <c r="U205" s="108"/>
      <c r="V205" s="108"/>
      <c r="W205" s="108"/>
      <c r="X205" s="108"/>
      <c r="Y205" s="108"/>
      <c r="Z205" s="108"/>
      <c r="AA205" s="108"/>
      <c r="AB205" s="108"/>
    </row>
    <row r="206" spans="1:28" ht="20">
      <c r="A206" s="118" t="s">
        <v>365</v>
      </c>
      <c r="B206" s="118" t="s">
        <v>254</v>
      </c>
      <c r="C206" s="118" t="s">
        <v>254</v>
      </c>
      <c r="D206" s="118" t="s">
        <v>213</v>
      </c>
      <c r="E206" s="118" t="s">
        <v>213</v>
      </c>
      <c r="F206" s="118" t="s">
        <v>130</v>
      </c>
      <c r="G206" s="122">
        <v>0.40699999999999997</v>
      </c>
      <c r="H206" s="122">
        <v>0.40699999999999997</v>
      </c>
      <c r="I206" s="122">
        <f t="shared" si="35"/>
        <v>0.44769999999999999</v>
      </c>
      <c r="J206" s="122">
        <f t="shared" si="35"/>
        <v>0.44769999999999999</v>
      </c>
      <c r="K206" s="122">
        <f t="shared" si="36"/>
        <v>0.50874999999999992</v>
      </c>
      <c r="L206" s="122">
        <f t="shared" si="36"/>
        <v>0.50874999999999992</v>
      </c>
      <c r="M206" s="122">
        <f t="shared" si="37"/>
        <v>0.52910000000000001</v>
      </c>
      <c r="N206" s="122">
        <f t="shared" si="37"/>
        <v>0.52910000000000001</v>
      </c>
      <c r="O206" s="122">
        <f t="shared" si="38"/>
        <v>0.56979999999999997</v>
      </c>
      <c r="P206" s="122">
        <f t="shared" si="38"/>
        <v>0.56979999999999997</v>
      </c>
      <c r="Q206" s="122">
        <f t="shared" si="39"/>
        <v>0.61049999999999993</v>
      </c>
      <c r="R206" s="122">
        <f t="shared" si="39"/>
        <v>0.61049999999999993</v>
      </c>
      <c r="S206" s="123" t="s">
        <v>413</v>
      </c>
      <c r="T206" s="108"/>
      <c r="U206" s="108"/>
      <c r="V206" s="108"/>
      <c r="W206" s="108"/>
      <c r="X206" s="108"/>
      <c r="Y206" s="108"/>
      <c r="Z206" s="108"/>
      <c r="AA206" s="108"/>
      <c r="AB206" s="108"/>
    </row>
    <row r="207" spans="1:28">
      <c r="A207" s="118" t="s">
        <v>366</v>
      </c>
      <c r="B207" s="118" t="s">
        <v>257</v>
      </c>
      <c r="C207" s="118" t="s">
        <v>257</v>
      </c>
      <c r="D207" s="118" t="s">
        <v>268</v>
      </c>
      <c r="E207" s="118" t="s">
        <v>268</v>
      </c>
      <c r="F207" s="118" t="s">
        <v>130</v>
      </c>
      <c r="G207" s="122">
        <v>0.41</v>
      </c>
      <c r="H207" s="122">
        <v>0.41</v>
      </c>
      <c r="I207" s="122">
        <f t="shared" si="35"/>
        <v>0.45100000000000001</v>
      </c>
      <c r="J207" s="122">
        <f t="shared" si="35"/>
        <v>0.45100000000000001</v>
      </c>
      <c r="K207" s="122">
        <f t="shared" si="36"/>
        <v>0.51249999999999996</v>
      </c>
      <c r="L207" s="122">
        <f t="shared" si="36"/>
        <v>0.51249999999999996</v>
      </c>
      <c r="M207" s="122">
        <f t="shared" si="37"/>
        <v>0.53300000000000003</v>
      </c>
      <c r="N207" s="122">
        <f t="shared" si="37"/>
        <v>0.53300000000000003</v>
      </c>
      <c r="O207" s="122">
        <f t="shared" si="38"/>
        <v>0.57399999999999995</v>
      </c>
      <c r="P207" s="122">
        <f t="shared" si="38"/>
        <v>0.57399999999999995</v>
      </c>
      <c r="Q207" s="122">
        <f t="shared" si="39"/>
        <v>0.61499999999999999</v>
      </c>
      <c r="R207" s="122">
        <f t="shared" si="39"/>
        <v>0.61499999999999999</v>
      </c>
      <c r="S207" s="119" t="s">
        <v>362</v>
      </c>
      <c r="T207" s="108"/>
      <c r="U207" s="108"/>
      <c r="V207" s="108"/>
      <c r="W207" s="108"/>
      <c r="X207" s="108"/>
      <c r="Y207" s="108"/>
      <c r="Z207" s="108"/>
      <c r="AA207" s="108"/>
      <c r="AB207" s="108"/>
    </row>
    <row r="208" spans="1:28" ht="20">
      <c r="A208" s="118" t="s">
        <v>367</v>
      </c>
      <c r="B208" s="118" t="s">
        <v>259</v>
      </c>
      <c r="C208" s="118" t="s">
        <v>259</v>
      </c>
      <c r="D208" s="118" t="s">
        <v>350</v>
      </c>
      <c r="E208" s="118" t="s">
        <v>350</v>
      </c>
      <c r="F208" s="118" t="s">
        <v>130</v>
      </c>
      <c r="G208" s="122">
        <v>0.43</v>
      </c>
      <c r="H208" s="122">
        <v>0.43</v>
      </c>
      <c r="I208" s="122">
        <f t="shared" si="35"/>
        <v>0.47300000000000003</v>
      </c>
      <c r="J208" s="122">
        <f t="shared" si="35"/>
        <v>0.47300000000000003</v>
      </c>
      <c r="K208" s="122">
        <f t="shared" si="36"/>
        <v>0.53749999999999998</v>
      </c>
      <c r="L208" s="122">
        <f t="shared" si="36"/>
        <v>0.53749999999999998</v>
      </c>
      <c r="M208" s="122">
        <f t="shared" si="37"/>
        <v>0.55900000000000005</v>
      </c>
      <c r="N208" s="122">
        <f t="shared" si="37"/>
        <v>0.55900000000000005</v>
      </c>
      <c r="O208" s="122">
        <f t="shared" si="38"/>
        <v>0.60199999999999998</v>
      </c>
      <c r="P208" s="122">
        <f t="shared" si="38"/>
        <v>0.60199999999999998</v>
      </c>
      <c r="Q208" s="122">
        <f t="shared" si="39"/>
        <v>0.64500000000000002</v>
      </c>
      <c r="R208" s="122">
        <f t="shared" si="39"/>
        <v>0.64500000000000002</v>
      </c>
      <c r="S208" s="123" t="s">
        <v>414</v>
      </c>
      <c r="T208" s="108"/>
      <c r="U208" s="108"/>
      <c r="V208" s="108"/>
      <c r="W208" s="108"/>
      <c r="X208" s="108"/>
      <c r="Y208" s="108"/>
      <c r="Z208" s="108"/>
      <c r="AA208" s="108"/>
      <c r="AB208" s="108"/>
    </row>
    <row r="209" spans="1:28">
      <c r="B209" s="118"/>
      <c r="D209" s="118"/>
      <c r="F209" s="118"/>
      <c r="G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T209" s="108"/>
      <c r="U209" s="108"/>
      <c r="V209" s="108"/>
      <c r="W209" s="108"/>
      <c r="X209" s="108"/>
      <c r="Y209" s="108"/>
      <c r="Z209" s="108"/>
      <c r="AA209" s="108"/>
      <c r="AB209" s="108"/>
    </row>
    <row r="210" spans="1:28">
      <c r="A210" s="118" t="s">
        <v>103</v>
      </c>
      <c r="T210" s="108"/>
      <c r="U210" s="108"/>
      <c r="V210" s="108"/>
      <c r="W210" s="108"/>
      <c r="X210" s="108"/>
      <c r="Y210" s="108"/>
      <c r="Z210" s="108"/>
      <c r="AA210" s="108"/>
      <c r="AB210" s="108"/>
    </row>
    <row r="211" spans="1:28">
      <c r="A211" s="120" t="s">
        <v>368</v>
      </c>
      <c r="C211" s="118"/>
      <c r="D211" s="122"/>
      <c r="T211" s="108"/>
      <c r="U211" s="108"/>
      <c r="V211" s="108"/>
      <c r="W211" s="108"/>
      <c r="X211" s="108"/>
      <c r="Y211" s="108"/>
      <c r="Z211" s="108"/>
      <c r="AA211" s="108"/>
      <c r="AB211" s="108"/>
    </row>
    <row r="212" spans="1:28">
      <c r="A212" s="118" t="s">
        <v>369</v>
      </c>
      <c r="B212" s="118" t="s">
        <v>134</v>
      </c>
      <c r="C212" s="118" t="s">
        <v>134</v>
      </c>
      <c r="D212" s="118" t="s">
        <v>113</v>
      </c>
      <c r="E212" s="118" t="s">
        <v>113</v>
      </c>
      <c r="F212" s="118" t="s">
        <v>130</v>
      </c>
      <c r="G212" s="118">
        <v>0.38500000000000001</v>
      </c>
      <c r="H212" s="118">
        <v>0.38500000000000001</v>
      </c>
      <c r="I212" s="122">
        <f t="shared" ref="I212:J218" si="40">$I$6*G212</f>
        <v>0.42350000000000004</v>
      </c>
      <c r="J212" s="122">
        <f t="shared" si="40"/>
        <v>0.42350000000000004</v>
      </c>
      <c r="K212" s="122">
        <f t="shared" ref="K212:L218" si="41">$K$6*G212</f>
        <v>0.48125000000000001</v>
      </c>
      <c r="L212" s="122">
        <f t="shared" si="41"/>
        <v>0.48125000000000001</v>
      </c>
      <c r="M212" s="122">
        <f t="shared" ref="M212:N218" si="42">$M$6*G212</f>
        <v>0.50050000000000006</v>
      </c>
      <c r="N212" s="122">
        <f t="shared" si="42"/>
        <v>0.50050000000000006</v>
      </c>
      <c r="O212" s="122">
        <f t="shared" ref="O212:P218" si="43">$O$6*G212</f>
        <v>0.53899999999999992</v>
      </c>
      <c r="P212" s="122">
        <f t="shared" si="43"/>
        <v>0.53899999999999992</v>
      </c>
      <c r="Q212" s="122">
        <f t="shared" ref="Q212:R218" si="44">$Q$6*G212</f>
        <v>0.57750000000000001</v>
      </c>
      <c r="R212" s="122">
        <f t="shared" si="44"/>
        <v>0.57750000000000001</v>
      </c>
      <c r="S212" s="119" t="s">
        <v>370</v>
      </c>
      <c r="T212" s="108"/>
      <c r="U212" s="108"/>
      <c r="V212" s="108"/>
      <c r="W212" s="108"/>
      <c r="X212" s="108"/>
      <c r="Y212" s="108"/>
      <c r="Z212" s="108"/>
      <c r="AA212" s="108"/>
      <c r="AB212" s="108"/>
    </row>
    <row r="213" spans="1:28">
      <c r="A213" s="118" t="s">
        <v>371</v>
      </c>
      <c r="B213" s="118" t="s">
        <v>112</v>
      </c>
      <c r="C213" s="118" t="s">
        <v>112</v>
      </c>
      <c r="D213" s="118" t="s">
        <v>101</v>
      </c>
      <c r="E213" s="118" t="s">
        <v>101</v>
      </c>
      <c r="F213" s="118" t="s">
        <v>130</v>
      </c>
      <c r="G213" s="118">
        <v>0.39100000000000001</v>
      </c>
      <c r="H213" s="118">
        <v>0.39100000000000001</v>
      </c>
      <c r="I213" s="122">
        <f t="shared" si="40"/>
        <v>0.43010000000000004</v>
      </c>
      <c r="J213" s="122">
        <f t="shared" si="40"/>
        <v>0.43010000000000004</v>
      </c>
      <c r="K213" s="122">
        <f t="shared" si="41"/>
        <v>0.48875000000000002</v>
      </c>
      <c r="L213" s="122">
        <f t="shared" si="41"/>
        <v>0.48875000000000002</v>
      </c>
      <c r="M213" s="122">
        <f t="shared" si="42"/>
        <v>0.50830000000000009</v>
      </c>
      <c r="N213" s="122">
        <f t="shared" si="42"/>
        <v>0.50830000000000009</v>
      </c>
      <c r="O213" s="122">
        <f t="shared" si="43"/>
        <v>0.5474</v>
      </c>
      <c r="P213" s="122">
        <f t="shared" si="43"/>
        <v>0.5474</v>
      </c>
      <c r="Q213" s="122">
        <f t="shared" si="44"/>
        <v>0.58650000000000002</v>
      </c>
      <c r="R213" s="122">
        <f t="shared" si="44"/>
        <v>0.58650000000000002</v>
      </c>
      <c r="S213" s="119" t="s">
        <v>372</v>
      </c>
      <c r="T213" s="108"/>
      <c r="U213" s="108"/>
      <c r="V213" s="108"/>
      <c r="W213" s="108"/>
      <c r="X213" s="108"/>
      <c r="Y213" s="108"/>
      <c r="Z213" s="108"/>
      <c r="AA213" s="108"/>
      <c r="AB213" s="108"/>
    </row>
    <row r="214" spans="1:28">
      <c r="A214" s="118" t="s">
        <v>373</v>
      </c>
      <c r="B214" s="118" t="s">
        <v>112</v>
      </c>
      <c r="C214" s="118" t="s">
        <v>134</v>
      </c>
      <c r="D214" s="118" t="s">
        <v>211</v>
      </c>
      <c r="E214" s="118" t="s">
        <v>113</v>
      </c>
      <c r="F214" s="118" t="s">
        <v>130</v>
      </c>
      <c r="G214" s="118">
        <v>0.40200000000000002</v>
      </c>
      <c r="H214" s="118">
        <v>0.38500000000000001</v>
      </c>
      <c r="I214" s="122">
        <f t="shared" si="40"/>
        <v>0.44220000000000004</v>
      </c>
      <c r="J214" s="122">
        <f t="shared" si="40"/>
        <v>0.42350000000000004</v>
      </c>
      <c r="K214" s="122">
        <f t="shared" si="41"/>
        <v>0.50250000000000006</v>
      </c>
      <c r="L214" s="122">
        <f t="shared" si="41"/>
        <v>0.48125000000000001</v>
      </c>
      <c r="M214" s="122">
        <f t="shared" si="42"/>
        <v>0.52260000000000006</v>
      </c>
      <c r="N214" s="122">
        <f t="shared" si="42"/>
        <v>0.50050000000000006</v>
      </c>
      <c r="O214" s="122">
        <f t="shared" si="43"/>
        <v>0.56279999999999997</v>
      </c>
      <c r="P214" s="122">
        <f t="shared" si="43"/>
        <v>0.53899999999999992</v>
      </c>
      <c r="Q214" s="122">
        <f t="shared" si="44"/>
        <v>0.60299999999999998</v>
      </c>
      <c r="R214" s="122">
        <f t="shared" si="44"/>
        <v>0.57750000000000001</v>
      </c>
      <c r="S214" s="119" t="s">
        <v>374</v>
      </c>
      <c r="T214" s="108"/>
      <c r="U214" s="108"/>
      <c r="V214" s="108"/>
      <c r="W214" s="108"/>
      <c r="X214" s="108"/>
      <c r="Y214" s="108"/>
      <c r="Z214" s="108"/>
      <c r="AA214" s="108"/>
      <c r="AB214" s="108"/>
    </row>
    <row r="215" spans="1:28">
      <c r="A215" s="118" t="s">
        <v>375</v>
      </c>
      <c r="B215" s="118" t="s">
        <v>116</v>
      </c>
      <c r="C215" s="118" t="s">
        <v>112</v>
      </c>
      <c r="D215" s="118" t="s">
        <v>117</v>
      </c>
      <c r="E215" s="118" t="s">
        <v>202</v>
      </c>
      <c r="F215" s="118" t="s">
        <v>130</v>
      </c>
      <c r="G215" s="118">
        <v>0.40899999999999997</v>
      </c>
      <c r="H215" s="118">
        <v>0.39100000000000001</v>
      </c>
      <c r="I215" s="122">
        <f t="shared" si="40"/>
        <v>0.44990000000000002</v>
      </c>
      <c r="J215" s="122">
        <f t="shared" si="40"/>
        <v>0.43010000000000004</v>
      </c>
      <c r="K215" s="122">
        <f t="shared" si="41"/>
        <v>0.51124999999999998</v>
      </c>
      <c r="L215" s="122">
        <f t="shared" si="41"/>
        <v>0.48875000000000002</v>
      </c>
      <c r="M215" s="122">
        <f t="shared" si="42"/>
        <v>0.53169999999999995</v>
      </c>
      <c r="N215" s="122">
        <f t="shared" si="42"/>
        <v>0.50830000000000009</v>
      </c>
      <c r="O215" s="122">
        <f t="shared" si="43"/>
        <v>0.57259999999999989</v>
      </c>
      <c r="P215" s="122">
        <f t="shared" si="43"/>
        <v>0.5474</v>
      </c>
      <c r="Q215" s="122">
        <f t="shared" si="44"/>
        <v>0.61349999999999993</v>
      </c>
      <c r="R215" s="122">
        <f t="shared" si="44"/>
        <v>0.58650000000000002</v>
      </c>
      <c r="S215" s="119" t="s">
        <v>396</v>
      </c>
      <c r="T215" s="108"/>
      <c r="U215" s="108"/>
      <c r="V215" s="108"/>
      <c r="W215" s="108"/>
      <c r="X215" s="108"/>
      <c r="Y215" s="108"/>
      <c r="Z215" s="108"/>
      <c r="AA215" s="108"/>
      <c r="AB215" s="108"/>
    </row>
    <row r="216" spans="1:28">
      <c r="A216" s="118" t="s">
        <v>376</v>
      </c>
      <c r="B216" s="118" t="s">
        <v>213</v>
      </c>
      <c r="C216" s="118" t="s">
        <v>213</v>
      </c>
      <c r="D216" s="118" t="s">
        <v>117</v>
      </c>
      <c r="E216" s="118" t="s">
        <v>117</v>
      </c>
      <c r="F216" s="118" t="s">
        <v>130</v>
      </c>
      <c r="G216" s="118">
        <v>0.39500000000000002</v>
      </c>
      <c r="H216" s="118">
        <v>0.39500000000000002</v>
      </c>
      <c r="I216" s="122">
        <f t="shared" si="40"/>
        <v>0.43450000000000005</v>
      </c>
      <c r="J216" s="122">
        <f t="shared" si="40"/>
        <v>0.43450000000000005</v>
      </c>
      <c r="K216" s="122">
        <f t="shared" si="41"/>
        <v>0.49375000000000002</v>
      </c>
      <c r="L216" s="122">
        <f t="shared" si="41"/>
        <v>0.49375000000000002</v>
      </c>
      <c r="M216" s="122">
        <f t="shared" si="42"/>
        <v>0.51350000000000007</v>
      </c>
      <c r="N216" s="122">
        <f t="shared" si="42"/>
        <v>0.51350000000000007</v>
      </c>
      <c r="O216" s="122">
        <f t="shared" si="43"/>
        <v>0.55299999999999994</v>
      </c>
      <c r="P216" s="122">
        <f t="shared" si="43"/>
        <v>0.55299999999999994</v>
      </c>
      <c r="Q216" s="122">
        <f t="shared" si="44"/>
        <v>0.59250000000000003</v>
      </c>
      <c r="R216" s="122">
        <f t="shared" si="44"/>
        <v>0.59250000000000003</v>
      </c>
      <c r="S216" s="119" t="s">
        <v>377</v>
      </c>
      <c r="T216" s="108"/>
      <c r="U216" s="108"/>
      <c r="V216" s="108"/>
      <c r="W216" s="108"/>
      <c r="X216" s="108"/>
      <c r="Y216" s="108"/>
      <c r="Z216" s="108"/>
      <c r="AA216" s="108"/>
      <c r="AB216" s="108"/>
    </row>
    <row r="217" spans="1:28">
      <c r="A217" s="118" t="s">
        <v>378</v>
      </c>
      <c r="B217" s="118" t="s">
        <v>166</v>
      </c>
      <c r="C217" s="118" t="s">
        <v>166</v>
      </c>
      <c r="D217" s="118" t="s">
        <v>128</v>
      </c>
      <c r="E217" s="118" t="s">
        <v>128</v>
      </c>
      <c r="F217" s="118" t="s">
        <v>130</v>
      </c>
      <c r="G217" s="118">
        <v>0.40200000000000002</v>
      </c>
      <c r="H217" s="118">
        <v>0.40200000000000002</v>
      </c>
      <c r="I217" s="122">
        <f t="shared" si="40"/>
        <v>0.44220000000000004</v>
      </c>
      <c r="J217" s="122">
        <f t="shared" si="40"/>
        <v>0.44220000000000004</v>
      </c>
      <c r="K217" s="122">
        <f t="shared" si="41"/>
        <v>0.50250000000000006</v>
      </c>
      <c r="L217" s="122">
        <f t="shared" si="41"/>
        <v>0.50250000000000006</v>
      </c>
      <c r="M217" s="122">
        <f t="shared" si="42"/>
        <v>0.52260000000000006</v>
      </c>
      <c r="N217" s="122">
        <f t="shared" si="42"/>
        <v>0.52260000000000006</v>
      </c>
      <c r="O217" s="122">
        <f t="shared" si="43"/>
        <v>0.56279999999999997</v>
      </c>
      <c r="P217" s="122">
        <f t="shared" si="43"/>
        <v>0.56279999999999997</v>
      </c>
      <c r="Q217" s="122">
        <f t="shared" si="44"/>
        <v>0.60299999999999998</v>
      </c>
      <c r="R217" s="122">
        <f t="shared" si="44"/>
        <v>0.60299999999999998</v>
      </c>
      <c r="S217" s="119" t="s">
        <v>379</v>
      </c>
      <c r="T217" s="108"/>
      <c r="U217" s="108"/>
      <c r="V217" s="108"/>
      <c r="W217" s="108"/>
      <c r="X217" s="108"/>
      <c r="Y217" s="108"/>
      <c r="Z217" s="108"/>
      <c r="AA217" s="108"/>
      <c r="AB217" s="108"/>
    </row>
    <row r="218" spans="1:28">
      <c r="A218" s="118" t="s">
        <v>380</v>
      </c>
      <c r="B218" s="118" t="s">
        <v>207</v>
      </c>
      <c r="C218" s="118" t="s">
        <v>207</v>
      </c>
      <c r="D218" s="118" t="s">
        <v>105</v>
      </c>
      <c r="E218" s="118" t="s">
        <v>105</v>
      </c>
      <c r="F218" s="118" t="s">
        <v>130</v>
      </c>
      <c r="G218" s="118">
        <v>0.40400000000000003</v>
      </c>
      <c r="H218" s="118">
        <v>0.40400000000000003</v>
      </c>
      <c r="I218" s="122">
        <f t="shared" si="40"/>
        <v>0.44440000000000007</v>
      </c>
      <c r="J218" s="122">
        <f t="shared" si="40"/>
        <v>0.44440000000000007</v>
      </c>
      <c r="K218" s="122">
        <f t="shared" si="41"/>
        <v>0.505</v>
      </c>
      <c r="L218" s="122">
        <f t="shared" si="41"/>
        <v>0.505</v>
      </c>
      <c r="M218" s="122">
        <f t="shared" si="42"/>
        <v>0.5252</v>
      </c>
      <c r="N218" s="122">
        <f t="shared" si="42"/>
        <v>0.5252</v>
      </c>
      <c r="O218" s="122">
        <f t="shared" si="43"/>
        <v>0.56559999999999999</v>
      </c>
      <c r="P218" s="122">
        <f t="shared" si="43"/>
        <v>0.56559999999999999</v>
      </c>
      <c r="Q218" s="122">
        <f t="shared" si="44"/>
        <v>0.60600000000000009</v>
      </c>
      <c r="R218" s="122">
        <f t="shared" si="44"/>
        <v>0.60600000000000009</v>
      </c>
      <c r="S218" s="119" t="s">
        <v>381</v>
      </c>
      <c r="T218" s="108"/>
      <c r="U218" s="108"/>
      <c r="V218" s="108"/>
      <c r="W218" s="108"/>
      <c r="X218" s="108"/>
      <c r="Y218" s="108"/>
      <c r="Z218" s="108"/>
      <c r="AA218" s="108"/>
      <c r="AB218" s="108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1"/>
  <sheetViews>
    <sheetView zoomScale="125" zoomScaleNormal="125" zoomScalePageLayoutView="125" workbookViewId="0"/>
  </sheetViews>
  <sheetFormatPr baseColWidth="10" defaultRowHeight="12" x14ac:dyDescent="0"/>
  <cols>
    <col min="1" max="1" width="4.140625" style="2" customWidth="1"/>
    <col min="2" max="2" width="10" style="2" customWidth="1"/>
    <col min="3" max="3" width="8.140625" style="2" customWidth="1"/>
    <col min="4" max="6" width="8.28515625" style="2" customWidth="1"/>
    <col min="7" max="7" width="8.42578125" style="2" customWidth="1"/>
    <col min="8" max="8" width="8.28515625" style="2" customWidth="1"/>
    <col min="9" max="9" width="8.5703125" style="2" customWidth="1"/>
    <col min="10" max="10" width="12.5703125" style="2" customWidth="1"/>
    <col min="11" max="11" width="7.85546875" style="2" customWidth="1"/>
    <col min="12" max="16384" width="10.7109375" style="2"/>
  </cols>
  <sheetData>
    <row r="1" spans="2:20" ht="19" customHeight="1"/>
    <row r="2" spans="2:20" ht="22" customHeight="1">
      <c r="M2" s="161"/>
      <c r="N2" s="254" t="s">
        <v>91</v>
      </c>
      <c r="O2" s="94"/>
    </row>
    <row r="3" spans="2:20" ht="21">
      <c r="E3" s="110" t="s">
        <v>62</v>
      </c>
      <c r="I3" s="40" t="s">
        <v>32</v>
      </c>
      <c r="M3" s="162"/>
      <c r="N3" s="223" t="s">
        <v>87</v>
      </c>
      <c r="O3" s="83"/>
    </row>
    <row r="4" spans="2:20" ht="19" customHeight="1">
      <c r="M4" s="115"/>
      <c r="N4" s="255" t="s">
        <v>575</v>
      </c>
      <c r="O4" s="85"/>
    </row>
    <row r="5" spans="2:20" ht="17">
      <c r="B5" s="102" t="s">
        <v>63</v>
      </c>
      <c r="C5" s="111"/>
      <c r="E5" s="87" t="s">
        <v>65</v>
      </c>
      <c r="F5" s="89" t="s">
        <v>67</v>
      </c>
      <c r="G5" s="172">
        <f>0.621371192*G6</f>
        <v>3280.83989376</v>
      </c>
      <c r="J5" s="447" t="s">
        <v>691</v>
      </c>
      <c r="M5" s="162"/>
      <c r="N5" s="163" t="s">
        <v>73</v>
      </c>
      <c r="O5" s="83"/>
    </row>
    <row r="6" spans="2:20" ht="17">
      <c r="B6" s="86">
        <v>125</v>
      </c>
      <c r="C6" s="81"/>
      <c r="E6" s="88">
        <f>G6</f>
        <v>5280</v>
      </c>
      <c r="F6" s="170" t="s">
        <v>66</v>
      </c>
      <c r="G6" s="171">
        <v>5280</v>
      </c>
      <c r="J6" s="448" t="str">
        <f>CONCATENATE(I8,"/",I9,"R",I10)</f>
        <v>225/55R17</v>
      </c>
      <c r="M6" s="162"/>
      <c r="N6" s="164" t="s">
        <v>68</v>
      </c>
      <c r="O6" s="83"/>
    </row>
    <row r="7" spans="2:20" ht="18">
      <c r="B7" s="74" t="s">
        <v>61</v>
      </c>
      <c r="C7" s="459">
        <f>J22</f>
        <v>-3.8181818181818183</v>
      </c>
      <c r="D7" s="459">
        <f>J21</f>
        <v>3.5</v>
      </c>
      <c r="E7" s="459">
        <f>J20</f>
        <v>2.0555555555555554</v>
      </c>
      <c r="F7" s="459">
        <f>J19</f>
        <v>1.3846153846153846</v>
      </c>
      <c r="G7" s="459">
        <f>J18</f>
        <v>1.037037037037037</v>
      </c>
      <c r="H7" s="460">
        <f>J17</f>
        <v>0.85</v>
      </c>
      <c r="I7" s="96"/>
      <c r="J7" s="109" t="s">
        <v>79</v>
      </c>
      <c r="K7" s="94"/>
      <c r="M7" s="162"/>
      <c r="N7" s="118" t="s">
        <v>75</v>
      </c>
      <c r="O7" s="83"/>
    </row>
    <row r="8" spans="2:20" ht="17">
      <c r="B8" s="142" t="s">
        <v>60</v>
      </c>
      <c r="C8" s="120" t="s">
        <v>13</v>
      </c>
      <c r="D8" s="120" t="s">
        <v>53</v>
      </c>
      <c r="E8" s="120" t="s">
        <v>54</v>
      </c>
      <c r="F8" s="120" t="s">
        <v>55</v>
      </c>
      <c r="G8" s="120" t="s">
        <v>56</v>
      </c>
      <c r="H8" s="143" t="s">
        <v>57</v>
      </c>
      <c r="I8" s="97">
        <v>225</v>
      </c>
      <c r="J8" s="105" t="s">
        <v>81</v>
      </c>
      <c r="K8" s="83"/>
      <c r="M8" s="162"/>
      <c r="N8" s="164" t="s">
        <v>69</v>
      </c>
      <c r="O8" s="83"/>
    </row>
    <row r="9" spans="2:20" ht="17">
      <c r="B9" s="73" t="s">
        <v>58</v>
      </c>
      <c r="C9" s="75">
        <f t="shared" ref="C9:H9" si="0">$J$16*C7</f>
        <v>-14.578512396694217</v>
      </c>
      <c r="D9" s="75">
        <f t="shared" si="0"/>
        <v>13.363636363636363</v>
      </c>
      <c r="E9" s="75">
        <f t="shared" si="0"/>
        <v>7.8484848484848477</v>
      </c>
      <c r="F9" s="75">
        <f t="shared" si="0"/>
        <v>5.2867132867132867</v>
      </c>
      <c r="G9" s="75">
        <f t="shared" si="0"/>
        <v>3.9595959595959593</v>
      </c>
      <c r="H9" s="76">
        <f t="shared" si="0"/>
        <v>3.2454545454545456</v>
      </c>
      <c r="I9" s="97">
        <v>55</v>
      </c>
      <c r="J9" s="105" t="s">
        <v>80</v>
      </c>
      <c r="K9" s="83"/>
      <c r="M9" s="162"/>
      <c r="N9" s="118" t="s">
        <v>74</v>
      </c>
      <c r="O9" s="83"/>
    </row>
    <row r="10" spans="2:20" ht="17">
      <c r="B10" s="69">
        <v>1000</v>
      </c>
      <c r="C10" s="68">
        <f>60*$I$14*B10/$C$9/$E$6</f>
        <v>-5.4575866784832252</v>
      </c>
      <c r="D10" s="68">
        <f t="shared" ref="D10:D54" si="1">60*$I$14*B10/$D$9/$E$6</f>
        <v>5.953730921981701</v>
      </c>
      <c r="E10" s="68">
        <f t="shared" ref="E10:E54" si="2">60*$I$14*B10/$E$9/$E$6</f>
        <v>10.137433732022899</v>
      </c>
      <c r="F10" s="68">
        <f t="shared" ref="F10:F54" si="3">60*$I$14*B10/$F$9/$E$6</f>
        <v>15.049708719453745</v>
      </c>
      <c r="G10" s="68">
        <f t="shared" ref="G10:G54" si="4">60*$I$14*B10/$G$9/$E$6</f>
        <v>20.093841861688244</v>
      </c>
      <c r="H10" s="70">
        <f t="shared" ref="H10:H54" si="5">60*$I$14*B10/$H$9/$E$6</f>
        <v>24.515362619924652</v>
      </c>
      <c r="I10" s="98">
        <v>17</v>
      </c>
      <c r="J10" s="105" t="s">
        <v>83</v>
      </c>
      <c r="K10" s="83"/>
      <c r="M10" s="162"/>
      <c r="N10" s="251"/>
      <c r="O10" s="83"/>
    </row>
    <row r="11" spans="2:20" ht="17">
      <c r="B11" s="79">
        <f t="shared" ref="B11:B54" si="6">B10+$B$6</f>
        <v>1125</v>
      </c>
      <c r="C11" s="68">
        <f t="shared" ref="C11:C54" si="7">60*$I$14*B11/$C$9/$E$6</f>
        <v>-6.1397850132936282</v>
      </c>
      <c r="D11" s="68">
        <f t="shared" si="1"/>
        <v>6.6979472872294137</v>
      </c>
      <c r="E11" s="68">
        <f t="shared" si="2"/>
        <v>11.404612948525759</v>
      </c>
      <c r="F11" s="68">
        <f t="shared" si="3"/>
        <v>16.930922309385462</v>
      </c>
      <c r="G11" s="68">
        <f t="shared" si="4"/>
        <v>22.605572094399271</v>
      </c>
      <c r="H11" s="70">
        <f t="shared" si="5"/>
        <v>27.579782947415229</v>
      </c>
      <c r="I11" s="93">
        <f>(I13-I10)/2</f>
        <v>4.8720472440944889</v>
      </c>
      <c r="J11" s="105" t="s">
        <v>86</v>
      </c>
      <c r="K11" s="83"/>
      <c r="M11" s="162"/>
      <c r="N11" s="163" t="s">
        <v>72</v>
      </c>
      <c r="O11" s="83"/>
    </row>
    <row r="12" spans="2:20" ht="17">
      <c r="B12" s="79">
        <f t="shared" si="6"/>
        <v>1250</v>
      </c>
      <c r="C12" s="68">
        <f t="shared" si="7"/>
        <v>-6.8219833481040313</v>
      </c>
      <c r="D12" s="68">
        <f t="shared" si="1"/>
        <v>7.4421636524771273</v>
      </c>
      <c r="E12" s="68">
        <f t="shared" si="2"/>
        <v>12.671792165028624</v>
      </c>
      <c r="F12" s="68">
        <f t="shared" si="3"/>
        <v>18.812135899317184</v>
      </c>
      <c r="G12" s="68">
        <f t="shared" si="4"/>
        <v>25.117302327110306</v>
      </c>
      <c r="H12" s="70">
        <f t="shared" si="5"/>
        <v>30.644203274905813</v>
      </c>
      <c r="I12" s="100">
        <f>I8/25.4</f>
        <v>8.8582677165354333</v>
      </c>
      <c r="J12" s="105" t="s">
        <v>82</v>
      </c>
      <c r="K12" s="83"/>
      <c r="M12" s="162"/>
      <c r="N12" s="164" t="s">
        <v>68</v>
      </c>
      <c r="O12" s="83"/>
    </row>
    <row r="13" spans="2:20" ht="17">
      <c r="B13" s="79">
        <f t="shared" si="6"/>
        <v>1375</v>
      </c>
      <c r="C13" s="68">
        <f t="shared" si="7"/>
        <v>-7.5041816829144352</v>
      </c>
      <c r="D13" s="68">
        <f t="shared" si="1"/>
        <v>8.18638001772484</v>
      </c>
      <c r="E13" s="68">
        <f t="shared" si="2"/>
        <v>13.938971381531486</v>
      </c>
      <c r="F13" s="68">
        <f t="shared" si="3"/>
        <v>20.693349489248902</v>
      </c>
      <c r="G13" s="68">
        <f t="shared" si="4"/>
        <v>27.629032559821336</v>
      </c>
      <c r="H13" s="70">
        <f t="shared" si="5"/>
        <v>33.708623602396401</v>
      </c>
      <c r="I13" s="99">
        <f>0.02*I8*I9/25.4+I10</f>
        <v>26.744094488188978</v>
      </c>
      <c r="J13" s="106" t="s">
        <v>84</v>
      </c>
      <c r="K13" s="83"/>
      <c r="M13" s="162"/>
      <c r="N13" s="118" t="s">
        <v>70</v>
      </c>
      <c r="O13" s="83"/>
    </row>
    <row r="14" spans="2:20" ht="17">
      <c r="B14" s="79">
        <f t="shared" si="6"/>
        <v>1500</v>
      </c>
      <c r="C14" s="68">
        <f t="shared" si="7"/>
        <v>-8.1863800177248383</v>
      </c>
      <c r="D14" s="68">
        <f t="shared" si="1"/>
        <v>8.930596382972551</v>
      </c>
      <c r="E14" s="68">
        <f t="shared" si="2"/>
        <v>15.206150598034347</v>
      </c>
      <c r="F14" s="68">
        <f t="shared" si="3"/>
        <v>22.574563079180617</v>
      </c>
      <c r="G14" s="68">
        <f t="shared" si="4"/>
        <v>30.14076279253236</v>
      </c>
      <c r="H14" s="70">
        <f t="shared" si="5"/>
        <v>36.773043929886974</v>
      </c>
      <c r="I14" s="101">
        <f>PI()*I13/12</f>
        <v>7.0015875642504808</v>
      </c>
      <c r="J14" s="107" t="s">
        <v>85</v>
      </c>
      <c r="K14" s="85"/>
      <c r="M14" s="162"/>
      <c r="N14" s="164" t="s">
        <v>69</v>
      </c>
      <c r="O14" s="83"/>
    </row>
    <row r="15" spans="2:20" ht="17">
      <c r="B15" s="79">
        <f t="shared" si="6"/>
        <v>1625</v>
      </c>
      <c r="C15" s="68">
        <f t="shared" si="7"/>
        <v>-8.8685783525352413</v>
      </c>
      <c r="D15" s="68">
        <f t="shared" si="1"/>
        <v>9.6748127482202637</v>
      </c>
      <c r="E15" s="68">
        <f t="shared" si="2"/>
        <v>16.473329814537209</v>
      </c>
      <c r="F15" s="68">
        <f t="shared" si="3"/>
        <v>24.455776669112335</v>
      </c>
      <c r="G15" s="68">
        <f t="shared" si="4"/>
        <v>32.652493025243395</v>
      </c>
      <c r="H15" s="70">
        <f t="shared" si="5"/>
        <v>39.837464257377562</v>
      </c>
      <c r="I15" s="95"/>
      <c r="J15" s="74" t="s">
        <v>20</v>
      </c>
      <c r="K15" s="32"/>
      <c r="L15" s="32"/>
      <c r="M15" s="162"/>
      <c r="N15" s="118" t="s">
        <v>71</v>
      </c>
      <c r="O15" s="83"/>
    </row>
    <row r="16" spans="2:20" ht="17">
      <c r="B16" s="79">
        <f t="shared" si="6"/>
        <v>1750</v>
      </c>
      <c r="C16" s="68">
        <f t="shared" si="7"/>
        <v>-9.5507766873456443</v>
      </c>
      <c r="D16" s="68">
        <f t="shared" si="1"/>
        <v>10.419029113467978</v>
      </c>
      <c r="E16" s="68">
        <f t="shared" si="2"/>
        <v>17.740509031040069</v>
      </c>
      <c r="F16" s="68">
        <f t="shared" si="3"/>
        <v>26.336990259044054</v>
      </c>
      <c r="G16" s="68">
        <f t="shared" si="4"/>
        <v>35.164223257954426</v>
      </c>
      <c r="H16" s="70">
        <f t="shared" si="5"/>
        <v>42.901884584868142</v>
      </c>
      <c r="I16" s="82" t="s">
        <v>454</v>
      </c>
      <c r="J16" s="166">
        <f>42/11</f>
        <v>3.8181818181818183</v>
      </c>
      <c r="K16" s="120" t="s">
        <v>36</v>
      </c>
      <c r="L16" s="67"/>
      <c r="M16" s="162"/>
      <c r="N16" s="251"/>
      <c r="O16" s="83"/>
      <c r="T16" s="2" t="s">
        <v>459</v>
      </c>
    </row>
    <row r="17" spans="2:15" ht="17">
      <c r="B17" s="79">
        <f t="shared" si="6"/>
        <v>1875</v>
      </c>
      <c r="C17" s="68">
        <f t="shared" si="7"/>
        <v>-10.232975022156047</v>
      </c>
      <c r="D17" s="68">
        <f t="shared" si="1"/>
        <v>11.163245478715689</v>
      </c>
      <c r="E17" s="68">
        <f t="shared" si="2"/>
        <v>19.00768824754293</v>
      </c>
      <c r="F17" s="68">
        <f t="shared" si="3"/>
        <v>28.218203848975772</v>
      </c>
      <c r="G17" s="68">
        <f t="shared" si="4"/>
        <v>37.675953490665457</v>
      </c>
      <c r="H17" s="70">
        <f t="shared" si="5"/>
        <v>45.966304912358716</v>
      </c>
      <c r="I17" s="82">
        <v>5</v>
      </c>
      <c r="J17" s="166">
        <f>17/20</f>
        <v>0.85</v>
      </c>
      <c r="K17" s="8">
        <f>J18/J17</f>
        <v>1.2200435729847494</v>
      </c>
      <c r="L17" s="122">
        <f>J18/J17</f>
        <v>1.2200435729847494</v>
      </c>
      <c r="M17" s="162"/>
      <c r="N17" s="163" t="s">
        <v>76</v>
      </c>
      <c r="O17" s="83"/>
    </row>
    <row r="18" spans="2:15" ht="17">
      <c r="B18" s="79">
        <f t="shared" si="6"/>
        <v>2000</v>
      </c>
      <c r="C18" s="68">
        <f t="shared" si="7"/>
        <v>-10.91517335696645</v>
      </c>
      <c r="D18" s="68">
        <f t="shared" si="1"/>
        <v>11.907461843963402</v>
      </c>
      <c r="E18" s="68">
        <f t="shared" si="2"/>
        <v>20.274867464045798</v>
      </c>
      <c r="F18" s="68">
        <f t="shared" si="3"/>
        <v>30.099417438907491</v>
      </c>
      <c r="G18" s="68">
        <f t="shared" si="4"/>
        <v>40.187683723376487</v>
      </c>
      <c r="H18" s="70">
        <f t="shared" si="5"/>
        <v>49.030725239849303</v>
      </c>
      <c r="I18" s="82">
        <v>4</v>
      </c>
      <c r="J18" s="166">
        <f>28/27</f>
        <v>1.037037037037037</v>
      </c>
      <c r="K18" s="8">
        <f>J19/J18</f>
        <v>1.3351648351648353</v>
      </c>
      <c r="L18" s="122">
        <f>J19/J17</f>
        <v>1.6289592760180995</v>
      </c>
      <c r="M18" s="162"/>
      <c r="N18" s="164" t="s">
        <v>68</v>
      </c>
      <c r="O18" s="83"/>
    </row>
    <row r="19" spans="2:15" ht="17">
      <c r="B19" s="79">
        <f t="shared" si="6"/>
        <v>2125</v>
      </c>
      <c r="C19" s="68">
        <f t="shared" si="7"/>
        <v>-11.597371691776853</v>
      </c>
      <c r="D19" s="68">
        <f t="shared" si="1"/>
        <v>12.651678209211116</v>
      </c>
      <c r="E19" s="68">
        <f t="shared" si="2"/>
        <v>21.542046680548658</v>
      </c>
      <c r="F19" s="68">
        <f t="shared" si="3"/>
        <v>31.980631028839213</v>
      </c>
      <c r="G19" s="68">
        <f t="shared" si="4"/>
        <v>42.699413956087518</v>
      </c>
      <c r="H19" s="70">
        <f t="shared" si="5"/>
        <v>52.095145567339891</v>
      </c>
      <c r="I19" s="82">
        <v>3</v>
      </c>
      <c r="J19" s="166">
        <f>36/26</f>
        <v>1.3846153846153846</v>
      </c>
      <c r="K19" s="8">
        <f>J20/J19</f>
        <v>1.4845679012345678</v>
      </c>
      <c r="L19" s="122">
        <f>J20/J17</f>
        <v>2.4183006535947711</v>
      </c>
      <c r="M19" s="162"/>
      <c r="N19" s="118" t="s">
        <v>78</v>
      </c>
      <c r="O19" s="83"/>
    </row>
    <row r="20" spans="2:15" ht="17">
      <c r="B20" s="79">
        <f t="shared" si="6"/>
        <v>2250</v>
      </c>
      <c r="C20" s="68">
        <f t="shared" si="7"/>
        <v>-12.279570026587256</v>
      </c>
      <c r="D20" s="68">
        <f t="shared" si="1"/>
        <v>13.395894574458827</v>
      </c>
      <c r="E20" s="68">
        <f t="shared" si="2"/>
        <v>22.809225897051519</v>
      </c>
      <c r="F20" s="68">
        <f t="shared" si="3"/>
        <v>33.861844618770924</v>
      </c>
      <c r="G20" s="68">
        <f t="shared" si="4"/>
        <v>45.211144188798542</v>
      </c>
      <c r="H20" s="70">
        <f t="shared" si="5"/>
        <v>55.159565894830457</v>
      </c>
      <c r="I20" s="82">
        <v>2</v>
      </c>
      <c r="J20" s="166">
        <f>37/18</f>
        <v>2.0555555555555554</v>
      </c>
      <c r="K20" s="8">
        <f>J21/J20</f>
        <v>1.7027027027027029</v>
      </c>
      <c r="L20" s="16">
        <f>J21/J17</f>
        <v>4.1176470588235299</v>
      </c>
      <c r="M20" s="162"/>
      <c r="N20" s="164" t="s">
        <v>69</v>
      </c>
      <c r="O20" s="83"/>
    </row>
    <row r="21" spans="2:15" ht="17">
      <c r="B21" s="79">
        <f t="shared" si="6"/>
        <v>2375</v>
      </c>
      <c r="C21" s="68">
        <f t="shared" si="7"/>
        <v>-12.96176836139766</v>
      </c>
      <c r="D21" s="68">
        <f t="shared" si="1"/>
        <v>14.14011093970654</v>
      </c>
      <c r="E21" s="68">
        <f t="shared" si="2"/>
        <v>24.07640511355438</v>
      </c>
      <c r="F21" s="68">
        <f t="shared" si="3"/>
        <v>35.743058208702642</v>
      </c>
      <c r="G21" s="68">
        <f t="shared" si="4"/>
        <v>47.72287442150958</v>
      </c>
      <c r="H21" s="70">
        <f t="shared" si="5"/>
        <v>58.223986222321045</v>
      </c>
      <c r="I21" s="82">
        <v>1</v>
      </c>
      <c r="J21" s="166">
        <f>42/12</f>
        <v>3.5</v>
      </c>
      <c r="K21" s="66"/>
      <c r="L21" s="120" t="s">
        <v>4</v>
      </c>
      <c r="M21" s="162"/>
      <c r="N21" s="118" t="s">
        <v>77</v>
      </c>
      <c r="O21" s="83"/>
    </row>
    <row r="22" spans="2:15" ht="17">
      <c r="B22" s="79">
        <f t="shared" si="6"/>
        <v>2500</v>
      </c>
      <c r="C22" s="68">
        <f t="shared" si="7"/>
        <v>-13.643966696208063</v>
      </c>
      <c r="D22" s="68">
        <f t="shared" si="1"/>
        <v>14.884327304954255</v>
      </c>
      <c r="E22" s="68">
        <f t="shared" si="2"/>
        <v>25.343584330057247</v>
      </c>
      <c r="F22" s="68">
        <f t="shared" si="3"/>
        <v>37.624271798634368</v>
      </c>
      <c r="G22" s="68">
        <f t="shared" si="4"/>
        <v>50.234604654220611</v>
      </c>
      <c r="H22" s="70">
        <f t="shared" si="5"/>
        <v>61.288406549811626</v>
      </c>
      <c r="I22" s="84" t="s">
        <v>13</v>
      </c>
      <c r="J22" s="167">
        <f>-42/11</f>
        <v>-3.8181818181818183</v>
      </c>
      <c r="K22" s="169" t="s">
        <v>51</v>
      </c>
      <c r="L22" s="160">
        <f>J16*J17</f>
        <v>3.2454545454545456</v>
      </c>
      <c r="M22" s="115"/>
      <c r="N22" s="165"/>
      <c r="O22" s="85"/>
    </row>
    <row r="23" spans="2:15" ht="17">
      <c r="B23" s="79">
        <f t="shared" si="6"/>
        <v>2625</v>
      </c>
      <c r="C23" s="68">
        <f t="shared" si="7"/>
        <v>-14.326165031018467</v>
      </c>
      <c r="D23" s="68">
        <f t="shared" si="1"/>
        <v>15.628543670201967</v>
      </c>
      <c r="E23" s="68">
        <f t="shared" si="2"/>
        <v>26.610763546560108</v>
      </c>
      <c r="F23" s="68">
        <f t="shared" si="3"/>
        <v>39.505485388566086</v>
      </c>
      <c r="G23" s="68">
        <f t="shared" si="4"/>
        <v>52.746334886931635</v>
      </c>
      <c r="H23" s="70">
        <f t="shared" si="5"/>
        <v>64.352826877302206</v>
      </c>
      <c r="J23" s="252"/>
      <c r="N23" s="118"/>
    </row>
    <row r="24" spans="2:15" ht="17">
      <c r="B24" s="79">
        <f t="shared" si="6"/>
        <v>2750</v>
      </c>
      <c r="C24" s="68">
        <f t="shared" si="7"/>
        <v>-15.00836336582887</v>
      </c>
      <c r="D24" s="68">
        <f t="shared" si="1"/>
        <v>16.37276003544968</v>
      </c>
      <c r="E24" s="68">
        <f t="shared" si="2"/>
        <v>27.877942763062972</v>
      </c>
      <c r="F24" s="68">
        <f t="shared" si="3"/>
        <v>41.386698978497805</v>
      </c>
      <c r="G24" s="68">
        <f t="shared" si="4"/>
        <v>55.258065119642673</v>
      </c>
      <c r="H24" s="70">
        <f t="shared" si="5"/>
        <v>67.417247204792801</v>
      </c>
      <c r="N24" s="104"/>
    </row>
    <row r="25" spans="2:15" ht="17">
      <c r="B25" s="79">
        <f t="shared" si="6"/>
        <v>2875</v>
      </c>
      <c r="C25" s="68">
        <f t="shared" si="7"/>
        <v>-15.690561700639272</v>
      </c>
      <c r="D25" s="68">
        <f t="shared" si="1"/>
        <v>17.116976400697389</v>
      </c>
      <c r="E25" s="68">
        <f t="shared" si="2"/>
        <v>29.145121979565825</v>
      </c>
      <c r="F25" s="68">
        <f t="shared" si="3"/>
        <v>43.267912568429509</v>
      </c>
      <c r="G25" s="68">
        <f t="shared" si="4"/>
        <v>57.769795352353697</v>
      </c>
      <c r="H25" s="70">
        <f t="shared" si="5"/>
        <v>70.481667532283367</v>
      </c>
      <c r="N25" s="118"/>
    </row>
    <row r="26" spans="2:15" ht="17">
      <c r="B26" s="79">
        <f t="shared" si="6"/>
        <v>3000</v>
      </c>
      <c r="C26" s="68">
        <f t="shared" si="7"/>
        <v>-16.372760035449677</v>
      </c>
      <c r="D26" s="68">
        <f t="shared" si="1"/>
        <v>17.861192765945102</v>
      </c>
      <c r="E26" s="68">
        <f t="shared" si="2"/>
        <v>30.412301196068693</v>
      </c>
      <c r="F26" s="68">
        <f t="shared" si="3"/>
        <v>45.149126158361234</v>
      </c>
      <c r="G26" s="68">
        <f t="shared" si="4"/>
        <v>60.28152558506472</v>
      </c>
      <c r="H26" s="70">
        <f t="shared" si="5"/>
        <v>73.546087859773948</v>
      </c>
    </row>
    <row r="27" spans="2:15" ht="17">
      <c r="B27" s="79">
        <f t="shared" si="6"/>
        <v>3125</v>
      </c>
      <c r="C27" s="68">
        <f t="shared" si="7"/>
        <v>-17.054958370260078</v>
      </c>
      <c r="D27" s="68">
        <f t="shared" si="1"/>
        <v>18.605409131192815</v>
      </c>
      <c r="E27" s="68">
        <f t="shared" si="2"/>
        <v>31.67948041257155</v>
      </c>
      <c r="F27" s="68">
        <f t="shared" si="3"/>
        <v>47.030339748292953</v>
      </c>
      <c r="G27" s="68">
        <f t="shared" si="4"/>
        <v>62.793255817775758</v>
      </c>
      <c r="H27" s="70">
        <f t="shared" si="5"/>
        <v>76.610508187264543</v>
      </c>
    </row>
    <row r="28" spans="2:15" ht="17">
      <c r="B28" s="79">
        <f t="shared" si="6"/>
        <v>3250</v>
      </c>
      <c r="C28" s="68">
        <f t="shared" si="7"/>
        <v>-17.737156705070483</v>
      </c>
      <c r="D28" s="68">
        <f t="shared" si="1"/>
        <v>19.349625496440527</v>
      </c>
      <c r="E28" s="68">
        <f t="shared" si="2"/>
        <v>32.946659629074418</v>
      </c>
      <c r="F28" s="68">
        <f t="shared" si="3"/>
        <v>48.911553338224671</v>
      </c>
      <c r="G28" s="68">
        <f t="shared" si="4"/>
        <v>65.304986050486789</v>
      </c>
      <c r="H28" s="70">
        <f t="shared" si="5"/>
        <v>79.674928514755123</v>
      </c>
    </row>
    <row r="29" spans="2:15" ht="17">
      <c r="B29" s="79">
        <f t="shared" si="6"/>
        <v>3375</v>
      </c>
      <c r="C29" s="68">
        <f t="shared" si="7"/>
        <v>-18.419355039880887</v>
      </c>
      <c r="D29" s="68">
        <f t="shared" si="1"/>
        <v>20.093841861688244</v>
      </c>
      <c r="E29" s="68">
        <f t="shared" si="2"/>
        <v>34.213838845577285</v>
      </c>
      <c r="F29" s="68">
        <f t="shared" si="3"/>
        <v>50.792766928156382</v>
      </c>
      <c r="G29" s="68">
        <f t="shared" si="4"/>
        <v>67.81671628319782</v>
      </c>
      <c r="H29" s="70">
        <f t="shared" si="5"/>
        <v>82.73934884224569</v>
      </c>
    </row>
    <row r="30" spans="2:15" ht="17">
      <c r="B30" s="79">
        <f t="shared" si="6"/>
        <v>3500</v>
      </c>
      <c r="C30" s="68">
        <f t="shared" si="7"/>
        <v>-19.101553374691289</v>
      </c>
      <c r="D30" s="68">
        <f t="shared" si="1"/>
        <v>20.838058226935956</v>
      </c>
      <c r="E30" s="68">
        <f t="shared" si="2"/>
        <v>35.481018062080139</v>
      </c>
      <c r="F30" s="68">
        <f t="shared" si="3"/>
        <v>52.673980518088108</v>
      </c>
      <c r="G30" s="68">
        <f t="shared" si="4"/>
        <v>70.328446515908851</v>
      </c>
      <c r="H30" s="70">
        <f t="shared" si="5"/>
        <v>85.803769169736285</v>
      </c>
    </row>
    <row r="31" spans="2:15" ht="17">
      <c r="B31" s="79">
        <f t="shared" si="6"/>
        <v>3625</v>
      </c>
      <c r="C31" s="68">
        <f t="shared" si="7"/>
        <v>-19.78375170950169</v>
      </c>
      <c r="D31" s="68">
        <f t="shared" si="1"/>
        <v>21.582274592183666</v>
      </c>
      <c r="E31" s="68">
        <f t="shared" si="2"/>
        <v>36.748197278583</v>
      </c>
      <c r="F31" s="68">
        <f t="shared" si="3"/>
        <v>54.555194108019826</v>
      </c>
      <c r="G31" s="68">
        <f t="shared" si="4"/>
        <v>72.840176748619868</v>
      </c>
      <c r="H31" s="70">
        <f t="shared" si="5"/>
        <v>88.868189497226851</v>
      </c>
    </row>
    <row r="32" spans="2:15" ht="17">
      <c r="B32" s="79">
        <f t="shared" si="6"/>
        <v>3750</v>
      </c>
      <c r="C32" s="68">
        <f t="shared" si="7"/>
        <v>-20.465950044312095</v>
      </c>
      <c r="D32" s="68">
        <f t="shared" si="1"/>
        <v>22.326490957431378</v>
      </c>
      <c r="E32" s="68">
        <f t="shared" si="2"/>
        <v>38.01537649508586</v>
      </c>
      <c r="F32" s="68">
        <f t="shared" si="3"/>
        <v>56.436407697951545</v>
      </c>
      <c r="G32" s="68">
        <f t="shared" si="4"/>
        <v>75.351906981330913</v>
      </c>
      <c r="H32" s="70">
        <f t="shared" si="5"/>
        <v>91.932609824717431</v>
      </c>
    </row>
    <row r="33" spans="2:8" ht="17">
      <c r="B33" s="79">
        <f t="shared" si="6"/>
        <v>3875</v>
      </c>
      <c r="C33" s="68">
        <f t="shared" si="7"/>
        <v>-21.148148379122496</v>
      </c>
      <c r="D33" s="68">
        <f t="shared" si="1"/>
        <v>23.070707322679091</v>
      </c>
      <c r="E33" s="68">
        <f t="shared" si="2"/>
        <v>39.282555711588728</v>
      </c>
      <c r="F33" s="68">
        <f t="shared" si="3"/>
        <v>58.317621287883263</v>
      </c>
      <c r="G33" s="68">
        <f t="shared" si="4"/>
        <v>77.86363721404193</v>
      </c>
      <c r="H33" s="70">
        <f t="shared" si="5"/>
        <v>94.997030152208012</v>
      </c>
    </row>
    <row r="34" spans="2:8" ht="17">
      <c r="B34" s="79">
        <f t="shared" si="6"/>
        <v>4000</v>
      </c>
      <c r="C34" s="68">
        <f t="shared" si="7"/>
        <v>-21.830346713932901</v>
      </c>
      <c r="D34" s="68">
        <f t="shared" si="1"/>
        <v>23.814923687926804</v>
      </c>
      <c r="E34" s="68">
        <f t="shared" si="2"/>
        <v>40.549734928091596</v>
      </c>
      <c r="F34" s="68">
        <f t="shared" si="3"/>
        <v>60.198834877814981</v>
      </c>
      <c r="G34" s="68">
        <f t="shared" si="4"/>
        <v>80.375367446752975</v>
      </c>
      <c r="H34" s="70">
        <f t="shared" si="5"/>
        <v>98.061450479698607</v>
      </c>
    </row>
    <row r="35" spans="2:8" ht="17">
      <c r="B35" s="79">
        <f t="shared" si="6"/>
        <v>4125</v>
      </c>
      <c r="C35" s="68">
        <f t="shared" si="7"/>
        <v>-22.512545048743302</v>
      </c>
      <c r="D35" s="68">
        <f t="shared" si="1"/>
        <v>24.559140053174517</v>
      </c>
      <c r="E35" s="68">
        <f t="shared" si="2"/>
        <v>41.816914144594449</v>
      </c>
      <c r="F35" s="68">
        <f t="shared" si="3"/>
        <v>62.0800484677467</v>
      </c>
      <c r="G35" s="68">
        <f t="shared" si="4"/>
        <v>82.887097679464006</v>
      </c>
      <c r="H35" s="70">
        <f t="shared" si="5"/>
        <v>101.12587080718919</v>
      </c>
    </row>
    <row r="36" spans="2:8" ht="17">
      <c r="B36" s="79">
        <f t="shared" si="6"/>
        <v>4250</v>
      </c>
      <c r="C36" s="68">
        <f t="shared" si="7"/>
        <v>-23.194743383553707</v>
      </c>
      <c r="D36" s="68">
        <f t="shared" si="1"/>
        <v>25.303356418422233</v>
      </c>
      <c r="E36" s="68">
        <f t="shared" si="2"/>
        <v>43.084093361097317</v>
      </c>
      <c r="F36" s="68">
        <f t="shared" si="3"/>
        <v>63.961262057678425</v>
      </c>
      <c r="G36" s="68">
        <f t="shared" si="4"/>
        <v>85.398827912175037</v>
      </c>
      <c r="H36" s="70">
        <f t="shared" si="5"/>
        <v>104.19029113467978</v>
      </c>
    </row>
    <row r="37" spans="2:8" ht="17">
      <c r="B37" s="79">
        <f t="shared" si="6"/>
        <v>4375</v>
      </c>
      <c r="C37" s="68">
        <f t="shared" si="7"/>
        <v>-23.876941718364112</v>
      </c>
      <c r="D37" s="68">
        <f t="shared" si="1"/>
        <v>26.047572783669946</v>
      </c>
      <c r="E37" s="68">
        <f t="shared" si="2"/>
        <v>44.351272577600177</v>
      </c>
      <c r="F37" s="68">
        <f t="shared" si="3"/>
        <v>65.842475647610144</v>
      </c>
      <c r="G37" s="68">
        <f t="shared" si="4"/>
        <v>87.910558144886068</v>
      </c>
      <c r="H37" s="70">
        <f t="shared" si="5"/>
        <v>107.25471146217035</v>
      </c>
    </row>
    <row r="38" spans="2:8" ht="17">
      <c r="B38" s="79">
        <f t="shared" si="6"/>
        <v>4500</v>
      </c>
      <c r="C38" s="68">
        <f t="shared" si="7"/>
        <v>-24.559140053174513</v>
      </c>
      <c r="D38" s="68">
        <f t="shared" si="1"/>
        <v>26.791789148917655</v>
      </c>
      <c r="E38" s="68">
        <f t="shared" si="2"/>
        <v>45.618451794103038</v>
      </c>
      <c r="F38" s="68">
        <f t="shared" si="3"/>
        <v>67.723689237541848</v>
      </c>
      <c r="G38" s="68">
        <f t="shared" si="4"/>
        <v>90.422288377597084</v>
      </c>
      <c r="H38" s="70">
        <f t="shared" si="5"/>
        <v>110.31913178966091</v>
      </c>
    </row>
    <row r="39" spans="2:8" ht="17">
      <c r="B39" s="79">
        <f t="shared" si="6"/>
        <v>4625</v>
      </c>
      <c r="C39" s="68">
        <f t="shared" si="7"/>
        <v>-25.241338387984918</v>
      </c>
      <c r="D39" s="68">
        <f t="shared" si="1"/>
        <v>27.536005514165364</v>
      </c>
      <c r="E39" s="68">
        <f t="shared" si="2"/>
        <v>46.885631010605898</v>
      </c>
      <c r="F39" s="68">
        <f t="shared" si="3"/>
        <v>69.604902827473566</v>
      </c>
      <c r="G39" s="68">
        <f t="shared" si="4"/>
        <v>92.934018610308115</v>
      </c>
      <c r="H39" s="70">
        <f t="shared" si="5"/>
        <v>113.38355211715151</v>
      </c>
    </row>
    <row r="40" spans="2:8" ht="17">
      <c r="B40" s="79">
        <f t="shared" si="6"/>
        <v>4750</v>
      </c>
      <c r="C40" s="68">
        <f t="shared" si="7"/>
        <v>-25.923536722795319</v>
      </c>
      <c r="D40" s="68">
        <f t="shared" si="1"/>
        <v>28.28022187941308</v>
      </c>
      <c r="E40" s="68">
        <f t="shared" si="2"/>
        <v>48.152810227108759</v>
      </c>
      <c r="F40" s="68">
        <f t="shared" si="3"/>
        <v>71.486116417405285</v>
      </c>
      <c r="G40" s="68">
        <f t="shared" si="4"/>
        <v>95.44574884301916</v>
      </c>
      <c r="H40" s="70">
        <f t="shared" si="5"/>
        <v>116.44797244464209</v>
      </c>
    </row>
    <row r="41" spans="2:8" ht="17">
      <c r="B41" s="79">
        <f t="shared" si="6"/>
        <v>4875</v>
      </c>
      <c r="C41" s="68">
        <f t="shared" si="7"/>
        <v>-26.605735057605727</v>
      </c>
      <c r="D41" s="68">
        <f t="shared" si="1"/>
        <v>29.024438244660793</v>
      </c>
      <c r="E41" s="68">
        <f t="shared" si="2"/>
        <v>49.419989443611627</v>
      </c>
      <c r="F41" s="68">
        <f t="shared" si="3"/>
        <v>73.367330007337003</v>
      </c>
      <c r="G41" s="68">
        <f t="shared" si="4"/>
        <v>97.957479075730177</v>
      </c>
      <c r="H41" s="70">
        <f t="shared" si="5"/>
        <v>119.51239277213267</v>
      </c>
    </row>
    <row r="42" spans="2:8" ht="17">
      <c r="B42" s="79">
        <f t="shared" si="6"/>
        <v>5000</v>
      </c>
      <c r="C42" s="68">
        <f t="shared" si="7"/>
        <v>-27.287933392416125</v>
      </c>
      <c r="D42" s="68">
        <f t="shared" si="1"/>
        <v>29.768654609908509</v>
      </c>
      <c r="E42" s="68">
        <f t="shared" si="2"/>
        <v>50.687168660114494</v>
      </c>
      <c r="F42" s="68">
        <f t="shared" si="3"/>
        <v>75.248543597268736</v>
      </c>
      <c r="G42" s="68">
        <f t="shared" si="4"/>
        <v>100.46920930844122</v>
      </c>
      <c r="H42" s="70">
        <f t="shared" si="5"/>
        <v>122.57681309962325</v>
      </c>
    </row>
    <row r="43" spans="2:8" ht="17">
      <c r="B43" s="79">
        <f t="shared" si="6"/>
        <v>5125</v>
      </c>
      <c r="C43" s="68">
        <f t="shared" si="7"/>
        <v>-27.970131727226526</v>
      </c>
      <c r="D43" s="68">
        <f t="shared" si="1"/>
        <v>30.512870975156218</v>
      </c>
      <c r="E43" s="68">
        <f t="shared" si="2"/>
        <v>51.954347876617348</v>
      </c>
      <c r="F43" s="68">
        <f t="shared" si="3"/>
        <v>77.12975718720044</v>
      </c>
      <c r="G43" s="68">
        <f t="shared" si="4"/>
        <v>102.98093954115224</v>
      </c>
      <c r="H43" s="70">
        <f t="shared" si="5"/>
        <v>125.64123342711382</v>
      </c>
    </row>
    <row r="44" spans="2:8" ht="17">
      <c r="B44" s="79">
        <f t="shared" si="6"/>
        <v>5250</v>
      </c>
      <c r="C44" s="68">
        <f t="shared" si="7"/>
        <v>-28.652330062036935</v>
      </c>
      <c r="D44" s="68">
        <f t="shared" si="1"/>
        <v>31.257087340403935</v>
      </c>
      <c r="E44" s="68">
        <f t="shared" si="2"/>
        <v>53.221527093120216</v>
      </c>
      <c r="F44" s="68">
        <f t="shared" si="3"/>
        <v>79.010970777132172</v>
      </c>
      <c r="G44" s="68">
        <f t="shared" si="4"/>
        <v>105.49266977386327</v>
      </c>
      <c r="H44" s="70">
        <f t="shared" si="5"/>
        <v>128.70565375460441</v>
      </c>
    </row>
    <row r="45" spans="2:8" ht="17">
      <c r="B45" s="79">
        <f t="shared" si="6"/>
        <v>5375</v>
      </c>
      <c r="C45" s="68">
        <f t="shared" si="7"/>
        <v>-29.334528396847336</v>
      </c>
      <c r="D45" s="68">
        <f t="shared" si="1"/>
        <v>32.001303705651644</v>
      </c>
      <c r="E45" s="68">
        <f t="shared" si="2"/>
        <v>54.488706309623069</v>
      </c>
      <c r="F45" s="68">
        <f t="shared" si="3"/>
        <v>80.892184367063876</v>
      </c>
      <c r="G45" s="68">
        <f t="shared" si="4"/>
        <v>108.0044000065743</v>
      </c>
      <c r="H45" s="70">
        <f t="shared" si="5"/>
        <v>131.77007408209499</v>
      </c>
    </row>
    <row r="46" spans="2:8" ht="17">
      <c r="B46" s="79">
        <f t="shared" si="6"/>
        <v>5500</v>
      </c>
      <c r="C46" s="68">
        <f t="shared" si="7"/>
        <v>-30.016726731657741</v>
      </c>
      <c r="D46" s="68">
        <f t="shared" si="1"/>
        <v>32.74552007089936</v>
      </c>
      <c r="E46" s="68">
        <f t="shared" si="2"/>
        <v>55.755885526125944</v>
      </c>
      <c r="F46" s="68">
        <f t="shared" si="3"/>
        <v>82.773397956995609</v>
      </c>
      <c r="G46" s="68">
        <f t="shared" si="4"/>
        <v>110.51613023928535</v>
      </c>
      <c r="H46" s="70">
        <f t="shared" si="5"/>
        <v>134.8344944095856</v>
      </c>
    </row>
    <row r="47" spans="2:8" ht="17">
      <c r="B47" s="79">
        <f t="shared" si="6"/>
        <v>5625</v>
      </c>
      <c r="C47" s="68">
        <f t="shared" si="7"/>
        <v>-30.698925066468142</v>
      </c>
      <c r="D47" s="68">
        <f t="shared" si="1"/>
        <v>33.489736436147069</v>
      </c>
      <c r="E47" s="68">
        <f t="shared" si="2"/>
        <v>57.023064742628797</v>
      </c>
      <c r="F47" s="68">
        <f t="shared" si="3"/>
        <v>84.654611546927313</v>
      </c>
      <c r="G47" s="68">
        <f t="shared" si="4"/>
        <v>113.02786047199636</v>
      </c>
      <c r="H47" s="70">
        <f t="shared" si="5"/>
        <v>137.89891473707615</v>
      </c>
    </row>
    <row r="48" spans="2:8" ht="17">
      <c r="B48" s="79">
        <f t="shared" si="6"/>
        <v>5750</v>
      </c>
      <c r="C48" s="68">
        <f t="shared" si="7"/>
        <v>-31.381123401278543</v>
      </c>
      <c r="D48" s="68">
        <f t="shared" si="1"/>
        <v>34.233952801394778</v>
      </c>
      <c r="E48" s="68">
        <f t="shared" si="2"/>
        <v>58.290243959131651</v>
      </c>
      <c r="F48" s="68">
        <f t="shared" si="3"/>
        <v>86.535825136859017</v>
      </c>
      <c r="G48" s="68">
        <f t="shared" si="4"/>
        <v>115.53959070470739</v>
      </c>
      <c r="H48" s="70">
        <f t="shared" si="5"/>
        <v>140.96333506456673</v>
      </c>
    </row>
    <row r="49" spans="2:9" ht="17">
      <c r="B49" s="79">
        <f t="shared" si="6"/>
        <v>5875</v>
      </c>
      <c r="C49" s="68">
        <f t="shared" si="7"/>
        <v>-32.063321736088952</v>
      </c>
      <c r="D49" s="68">
        <f t="shared" si="1"/>
        <v>34.978169166642495</v>
      </c>
      <c r="E49" s="68">
        <f t="shared" si="2"/>
        <v>59.557423175634526</v>
      </c>
      <c r="F49" s="68">
        <f t="shared" si="3"/>
        <v>88.41703872679075</v>
      </c>
      <c r="G49" s="68">
        <f t="shared" si="4"/>
        <v>118.05132093741842</v>
      </c>
      <c r="H49" s="70">
        <f t="shared" si="5"/>
        <v>144.02775539205732</v>
      </c>
    </row>
    <row r="50" spans="2:9" ht="17">
      <c r="B50" s="79">
        <f t="shared" si="6"/>
        <v>6000</v>
      </c>
      <c r="C50" s="68">
        <f t="shared" si="7"/>
        <v>-32.745520070899353</v>
      </c>
      <c r="D50" s="68">
        <f t="shared" si="1"/>
        <v>35.722385531890204</v>
      </c>
      <c r="E50" s="68">
        <f t="shared" si="2"/>
        <v>60.824602392137386</v>
      </c>
      <c r="F50" s="68">
        <f t="shared" si="3"/>
        <v>90.298252316722468</v>
      </c>
      <c r="G50" s="68">
        <f t="shared" si="4"/>
        <v>120.56305117012944</v>
      </c>
      <c r="H50" s="70">
        <f t="shared" si="5"/>
        <v>147.0921757195479</v>
      </c>
    </row>
    <row r="51" spans="2:9" ht="17">
      <c r="B51" s="79">
        <f t="shared" si="6"/>
        <v>6125</v>
      </c>
      <c r="C51" s="68">
        <f t="shared" si="7"/>
        <v>-33.427718405709754</v>
      </c>
      <c r="D51" s="68">
        <f t="shared" si="1"/>
        <v>36.46660189713792</v>
      </c>
      <c r="E51" s="68">
        <f t="shared" si="2"/>
        <v>62.091781608640247</v>
      </c>
      <c r="F51" s="68">
        <f t="shared" si="3"/>
        <v>92.179465906654201</v>
      </c>
      <c r="G51" s="68">
        <f t="shared" si="4"/>
        <v>123.0747814028405</v>
      </c>
      <c r="H51" s="70">
        <f t="shared" si="5"/>
        <v>150.15659604703848</v>
      </c>
    </row>
    <row r="52" spans="2:9" ht="17">
      <c r="B52" s="79">
        <f t="shared" si="6"/>
        <v>6250</v>
      </c>
      <c r="C52" s="68">
        <f t="shared" si="7"/>
        <v>-34.109916740520156</v>
      </c>
      <c r="D52" s="68">
        <f t="shared" si="1"/>
        <v>37.210818262385629</v>
      </c>
      <c r="E52" s="68">
        <f t="shared" si="2"/>
        <v>63.3589608251431</v>
      </c>
      <c r="F52" s="68">
        <f t="shared" si="3"/>
        <v>94.060679496585905</v>
      </c>
      <c r="G52" s="68">
        <f t="shared" si="4"/>
        <v>125.58651163555152</v>
      </c>
      <c r="H52" s="70">
        <f t="shared" si="5"/>
        <v>153.22101637452909</v>
      </c>
    </row>
    <row r="53" spans="2:9" ht="17">
      <c r="B53" s="79">
        <f t="shared" si="6"/>
        <v>6375</v>
      </c>
      <c r="C53" s="68">
        <f t="shared" si="7"/>
        <v>-34.792115075330564</v>
      </c>
      <c r="D53" s="68">
        <f t="shared" si="1"/>
        <v>37.955034627633346</v>
      </c>
      <c r="E53" s="68">
        <f t="shared" si="2"/>
        <v>64.626140041645982</v>
      </c>
      <c r="F53" s="68">
        <f t="shared" si="3"/>
        <v>95.941893086517638</v>
      </c>
      <c r="G53" s="68">
        <f t="shared" si="4"/>
        <v>128.09824186826256</v>
      </c>
      <c r="H53" s="70">
        <f t="shared" si="5"/>
        <v>156.28543670201967</v>
      </c>
    </row>
    <row r="54" spans="2:9" ht="17">
      <c r="B54" s="80">
        <f t="shared" si="6"/>
        <v>6500</v>
      </c>
      <c r="C54" s="71">
        <f t="shared" si="7"/>
        <v>-35.474313410140965</v>
      </c>
      <c r="D54" s="71">
        <f t="shared" si="1"/>
        <v>38.699250992881055</v>
      </c>
      <c r="E54" s="71">
        <f t="shared" si="2"/>
        <v>65.893319258148836</v>
      </c>
      <c r="F54" s="71">
        <f t="shared" si="3"/>
        <v>97.823106676449342</v>
      </c>
      <c r="G54" s="71">
        <f t="shared" si="4"/>
        <v>130.60997210097358</v>
      </c>
      <c r="H54" s="72">
        <f t="shared" si="5"/>
        <v>159.34985702951025</v>
      </c>
    </row>
    <row r="55" spans="2:9" ht="15">
      <c r="B55" s="443" t="s">
        <v>688</v>
      </c>
      <c r="C55" s="104" t="s">
        <v>689</v>
      </c>
      <c r="D55" s="104" t="s">
        <v>689</v>
      </c>
      <c r="E55" s="104" t="s">
        <v>689</v>
      </c>
      <c r="F55" s="104" t="s">
        <v>689</v>
      </c>
      <c r="G55" s="104" t="s">
        <v>689</v>
      </c>
      <c r="H55" s="104" t="s">
        <v>689</v>
      </c>
      <c r="I55" s="444" t="s">
        <v>690</v>
      </c>
    </row>
    <row r="56" spans="2:9" ht="17" customHeight="1">
      <c r="B56" s="112">
        <f t="shared" ref="B56:B80" si="8">$J$16*$J$17*5280*H56/60/$I$14</f>
        <v>1223.7224659943538</v>
      </c>
      <c r="C56" s="77">
        <f t="shared" ref="C56:C80" si="9">60*$I$14*B56/$C$9/$E$6</f>
        <v>-6.6785714285714262</v>
      </c>
      <c r="D56" s="77">
        <f t="shared" ref="D56:D80" si="10">60*$I$14*B56/$D$9/$E$6</f>
        <v>7.2857142857142856</v>
      </c>
      <c r="E56" s="77">
        <f t="shared" ref="E56:E80" si="11">60*$I$14*B56/$E$9/$E$6</f>
        <v>12.405405405405405</v>
      </c>
      <c r="F56" s="77">
        <f t="shared" ref="F56:F80" si="12">60*$I$14*B56/$F$9/$E$6</f>
        <v>18.416666666666664</v>
      </c>
      <c r="G56" s="77">
        <f t="shared" ref="G56:G80" si="13">60*$I$14*B56/$G$9/$E$6</f>
        <v>24.589285714285712</v>
      </c>
      <c r="H56" s="98">
        <v>30</v>
      </c>
      <c r="I56" s="445">
        <f>5280*H56/$I$14/60</f>
        <v>377.0573424632463</v>
      </c>
    </row>
    <row r="57" spans="2:9" ht="17">
      <c r="B57" s="113">
        <f t="shared" si="8"/>
        <v>1427.6762103267463</v>
      </c>
      <c r="C57" s="68">
        <f t="shared" si="9"/>
        <v>-7.7916666666666652</v>
      </c>
      <c r="D57" s="68">
        <f t="shared" si="10"/>
        <v>8.5</v>
      </c>
      <c r="E57" s="68">
        <f t="shared" si="11"/>
        <v>14.472972972972975</v>
      </c>
      <c r="F57" s="68">
        <f t="shared" si="12"/>
        <v>21.486111111111111</v>
      </c>
      <c r="G57" s="68">
        <f t="shared" si="13"/>
        <v>28.6875</v>
      </c>
      <c r="H57" s="446">
        <f t="shared" ref="H57:H67" si="14">H56+5</f>
        <v>35</v>
      </c>
      <c r="I57" s="445">
        <f t="shared" ref="I57:I80" si="15">5280*H57/$I$14/60</f>
        <v>439.90023287378733</v>
      </c>
    </row>
    <row r="58" spans="2:9" ht="17">
      <c r="B58" s="113">
        <f t="shared" si="8"/>
        <v>1631.6299546591385</v>
      </c>
      <c r="C58" s="68">
        <f t="shared" si="9"/>
        <v>-8.9047619047619033</v>
      </c>
      <c r="D58" s="68">
        <f t="shared" si="10"/>
        <v>9.7142857142857153</v>
      </c>
      <c r="E58" s="68">
        <f t="shared" si="11"/>
        <v>16.540540540540544</v>
      </c>
      <c r="F58" s="68">
        <f t="shared" si="12"/>
        <v>24.555555555555554</v>
      </c>
      <c r="G58" s="68">
        <f t="shared" si="13"/>
        <v>32.785714285714292</v>
      </c>
      <c r="H58" s="446">
        <f t="shared" si="14"/>
        <v>40</v>
      </c>
      <c r="I58" s="445">
        <f t="shared" si="15"/>
        <v>502.74312328432836</v>
      </c>
    </row>
    <row r="59" spans="2:9" ht="17">
      <c r="B59" s="113">
        <f t="shared" si="8"/>
        <v>1835.5836989915308</v>
      </c>
      <c r="C59" s="68">
        <f t="shared" si="9"/>
        <v>-10.017857142857142</v>
      </c>
      <c r="D59" s="68">
        <f t="shared" si="10"/>
        <v>10.928571428571429</v>
      </c>
      <c r="E59" s="68">
        <f t="shared" si="11"/>
        <v>18.608108108108109</v>
      </c>
      <c r="F59" s="68">
        <f t="shared" si="12"/>
        <v>27.625</v>
      </c>
      <c r="G59" s="68">
        <f t="shared" si="13"/>
        <v>36.883928571428577</v>
      </c>
      <c r="H59" s="446">
        <f t="shared" si="14"/>
        <v>45</v>
      </c>
      <c r="I59" s="445">
        <f t="shared" si="15"/>
        <v>565.58601369486939</v>
      </c>
    </row>
    <row r="60" spans="2:9" ht="17">
      <c r="B60" s="113">
        <f t="shared" si="8"/>
        <v>2039.5374433239231</v>
      </c>
      <c r="C60" s="68">
        <f t="shared" si="9"/>
        <v>-11.130952380952378</v>
      </c>
      <c r="D60" s="68">
        <f t="shared" si="10"/>
        <v>12.142857142857142</v>
      </c>
      <c r="E60" s="68">
        <f t="shared" si="11"/>
        <v>20.675675675675674</v>
      </c>
      <c r="F60" s="68">
        <f t="shared" si="12"/>
        <v>30.694444444444443</v>
      </c>
      <c r="G60" s="68">
        <f t="shared" si="13"/>
        <v>40.982142857142854</v>
      </c>
      <c r="H60" s="446">
        <f t="shared" si="14"/>
        <v>50</v>
      </c>
      <c r="I60" s="445">
        <f t="shared" si="15"/>
        <v>628.42890410541054</v>
      </c>
    </row>
    <row r="61" spans="2:9" ht="17">
      <c r="B61" s="113">
        <f t="shared" si="8"/>
        <v>2243.4911876563156</v>
      </c>
      <c r="C61" s="68">
        <f t="shared" si="9"/>
        <v>-12.244047619047617</v>
      </c>
      <c r="D61" s="68">
        <f t="shared" si="10"/>
        <v>13.357142857142858</v>
      </c>
      <c r="E61" s="68">
        <f t="shared" si="11"/>
        <v>22.743243243243246</v>
      </c>
      <c r="F61" s="68">
        <f t="shared" si="12"/>
        <v>33.763888888888893</v>
      </c>
      <c r="G61" s="68">
        <f t="shared" si="13"/>
        <v>45.080357142857146</v>
      </c>
      <c r="H61" s="446">
        <f t="shared" si="14"/>
        <v>55</v>
      </c>
      <c r="I61" s="445">
        <f t="shared" si="15"/>
        <v>691.27179451595157</v>
      </c>
    </row>
    <row r="62" spans="2:9" ht="17">
      <c r="B62" s="113">
        <f t="shared" si="8"/>
        <v>2447.4449319887076</v>
      </c>
      <c r="C62" s="68">
        <f t="shared" si="9"/>
        <v>-13.357142857142852</v>
      </c>
      <c r="D62" s="68">
        <f t="shared" si="10"/>
        <v>14.571428571428571</v>
      </c>
      <c r="E62" s="68">
        <f t="shared" si="11"/>
        <v>24.810810810810811</v>
      </c>
      <c r="F62" s="68">
        <f t="shared" si="12"/>
        <v>36.833333333333329</v>
      </c>
      <c r="G62" s="68">
        <f t="shared" si="13"/>
        <v>49.178571428571423</v>
      </c>
      <c r="H62" s="446">
        <f t="shared" si="14"/>
        <v>60</v>
      </c>
      <c r="I62" s="445">
        <f t="shared" si="15"/>
        <v>754.1146849264926</v>
      </c>
    </row>
    <row r="63" spans="2:9" ht="17">
      <c r="B63" s="113">
        <f t="shared" si="8"/>
        <v>2651.3986763211001</v>
      </c>
      <c r="C63" s="68">
        <f t="shared" si="9"/>
        <v>-14.470238095238093</v>
      </c>
      <c r="D63" s="68">
        <f t="shared" si="10"/>
        <v>15.785714285714286</v>
      </c>
      <c r="E63" s="68">
        <f t="shared" si="11"/>
        <v>26.878378378378379</v>
      </c>
      <c r="F63" s="68">
        <f t="shared" si="12"/>
        <v>39.902777777777779</v>
      </c>
      <c r="G63" s="68">
        <f t="shared" si="13"/>
        <v>53.276785714285715</v>
      </c>
      <c r="H63" s="446">
        <f t="shared" si="14"/>
        <v>65</v>
      </c>
      <c r="I63" s="445">
        <f t="shared" si="15"/>
        <v>816.95757533703363</v>
      </c>
    </row>
    <row r="64" spans="2:9" ht="17">
      <c r="B64" s="113">
        <f t="shared" si="8"/>
        <v>2855.3524206534926</v>
      </c>
      <c r="C64" s="68">
        <f t="shared" si="9"/>
        <v>-15.58333333333333</v>
      </c>
      <c r="D64" s="68">
        <f t="shared" si="10"/>
        <v>17</v>
      </c>
      <c r="E64" s="68">
        <f t="shared" si="11"/>
        <v>28.945945945945951</v>
      </c>
      <c r="F64" s="68">
        <f t="shared" si="12"/>
        <v>42.972222222222221</v>
      </c>
      <c r="G64" s="68">
        <f t="shared" si="13"/>
        <v>57.375</v>
      </c>
      <c r="H64" s="446">
        <f t="shared" si="14"/>
        <v>70</v>
      </c>
      <c r="I64" s="445">
        <f t="shared" si="15"/>
        <v>879.80046574757466</v>
      </c>
    </row>
    <row r="65" spans="2:9" ht="17">
      <c r="B65" s="113">
        <f t="shared" si="8"/>
        <v>3059.3061649858846</v>
      </c>
      <c r="C65" s="68">
        <f t="shared" si="9"/>
        <v>-16.696428571428569</v>
      </c>
      <c r="D65" s="68">
        <f t="shared" si="10"/>
        <v>18.214285714285715</v>
      </c>
      <c r="E65" s="68">
        <f t="shared" si="11"/>
        <v>31.013513513513516</v>
      </c>
      <c r="F65" s="68">
        <f t="shared" si="12"/>
        <v>46.041666666666664</v>
      </c>
      <c r="G65" s="68">
        <f t="shared" si="13"/>
        <v>61.473214285714292</v>
      </c>
      <c r="H65" s="446">
        <f t="shared" si="14"/>
        <v>75</v>
      </c>
      <c r="I65" s="445">
        <f t="shared" si="15"/>
        <v>942.64335615811581</v>
      </c>
    </row>
    <row r="66" spans="2:9" ht="17">
      <c r="B66" s="113">
        <f t="shared" si="8"/>
        <v>3263.2599093182771</v>
      </c>
      <c r="C66" s="68">
        <f t="shared" si="9"/>
        <v>-17.809523809523807</v>
      </c>
      <c r="D66" s="68">
        <f t="shared" si="10"/>
        <v>19.428571428571431</v>
      </c>
      <c r="E66" s="68">
        <f t="shared" si="11"/>
        <v>33.081081081081088</v>
      </c>
      <c r="F66" s="68">
        <f t="shared" si="12"/>
        <v>49.111111111111107</v>
      </c>
      <c r="G66" s="68">
        <f t="shared" si="13"/>
        <v>65.571428571428584</v>
      </c>
      <c r="H66" s="446">
        <f t="shared" si="14"/>
        <v>80</v>
      </c>
      <c r="I66" s="445">
        <f t="shared" si="15"/>
        <v>1005.4862465686567</v>
      </c>
    </row>
    <row r="67" spans="2:9" ht="17">
      <c r="B67" s="113">
        <f t="shared" si="8"/>
        <v>3467.2136536506691</v>
      </c>
      <c r="C67" s="68">
        <f t="shared" si="9"/>
        <v>-18.92261904761904</v>
      </c>
      <c r="D67" s="68">
        <f t="shared" si="10"/>
        <v>20.642857142857139</v>
      </c>
      <c r="E67" s="68">
        <f t="shared" si="11"/>
        <v>35.148648648648646</v>
      </c>
      <c r="F67" s="68">
        <f t="shared" si="12"/>
        <v>52.18055555555555</v>
      </c>
      <c r="G67" s="68">
        <f t="shared" si="13"/>
        <v>69.669642857142847</v>
      </c>
      <c r="H67" s="446">
        <f t="shared" si="14"/>
        <v>85</v>
      </c>
      <c r="I67" s="445">
        <f t="shared" si="15"/>
        <v>1068.3291369791978</v>
      </c>
    </row>
    <row r="68" spans="2:9" ht="17">
      <c r="B68" s="113">
        <f t="shared" si="8"/>
        <v>3671.1673979830616</v>
      </c>
      <c r="C68" s="68">
        <f t="shared" si="9"/>
        <v>-20.035714285714285</v>
      </c>
      <c r="D68" s="68">
        <f t="shared" si="10"/>
        <v>21.857142857142858</v>
      </c>
      <c r="E68" s="68">
        <f t="shared" si="11"/>
        <v>37.216216216216218</v>
      </c>
      <c r="F68" s="68">
        <f t="shared" si="12"/>
        <v>55.25</v>
      </c>
      <c r="G68" s="68">
        <f t="shared" si="13"/>
        <v>73.767857142857153</v>
      </c>
      <c r="H68" s="446">
        <f t="shared" ref="H68:H80" si="16">H67+5</f>
        <v>90</v>
      </c>
      <c r="I68" s="445">
        <f t="shared" si="15"/>
        <v>1131.1720273897388</v>
      </c>
    </row>
    <row r="69" spans="2:9" ht="17">
      <c r="B69" s="113">
        <f t="shared" si="8"/>
        <v>3875.1211423154541</v>
      </c>
      <c r="C69" s="68">
        <f t="shared" si="9"/>
        <v>-21.148809523809522</v>
      </c>
      <c r="D69" s="68">
        <f t="shared" si="10"/>
        <v>23.071428571428569</v>
      </c>
      <c r="E69" s="68">
        <f t="shared" si="11"/>
        <v>39.28378378378379</v>
      </c>
      <c r="F69" s="68">
        <f t="shared" si="12"/>
        <v>58.31944444444445</v>
      </c>
      <c r="G69" s="68">
        <f t="shared" si="13"/>
        <v>77.866071428571431</v>
      </c>
      <c r="H69" s="446">
        <f t="shared" si="16"/>
        <v>95</v>
      </c>
      <c r="I69" s="445">
        <f t="shared" si="15"/>
        <v>1194.0149178002798</v>
      </c>
    </row>
    <row r="70" spans="2:9" ht="17">
      <c r="B70" s="113">
        <f t="shared" si="8"/>
        <v>4079.0748866478461</v>
      </c>
      <c r="C70" s="68">
        <f t="shared" si="9"/>
        <v>-22.261904761904756</v>
      </c>
      <c r="D70" s="68">
        <f t="shared" si="10"/>
        <v>24.285714285714285</v>
      </c>
      <c r="E70" s="68">
        <f t="shared" si="11"/>
        <v>41.351351351351347</v>
      </c>
      <c r="F70" s="68">
        <f t="shared" si="12"/>
        <v>61.388888888888886</v>
      </c>
      <c r="G70" s="68">
        <f t="shared" si="13"/>
        <v>81.964285714285708</v>
      </c>
      <c r="H70" s="446">
        <f t="shared" si="16"/>
        <v>100</v>
      </c>
      <c r="I70" s="445">
        <f t="shared" si="15"/>
        <v>1256.8578082108211</v>
      </c>
    </row>
    <row r="71" spans="2:9" ht="17">
      <c r="B71" s="113">
        <f t="shared" si="8"/>
        <v>4283.0286309802386</v>
      </c>
      <c r="C71" s="68">
        <f t="shared" si="9"/>
        <v>-23.374999999999996</v>
      </c>
      <c r="D71" s="68">
        <f t="shared" si="10"/>
        <v>25.5</v>
      </c>
      <c r="E71" s="68">
        <f t="shared" si="11"/>
        <v>43.418918918918926</v>
      </c>
      <c r="F71" s="68">
        <f t="shared" si="12"/>
        <v>64.458333333333329</v>
      </c>
      <c r="G71" s="68">
        <f t="shared" si="13"/>
        <v>86.062500000000014</v>
      </c>
      <c r="H71" s="446">
        <f t="shared" si="16"/>
        <v>105</v>
      </c>
      <c r="I71" s="445">
        <f t="shared" si="15"/>
        <v>1319.7006986213621</v>
      </c>
    </row>
    <row r="72" spans="2:9" ht="17">
      <c r="B72" s="113">
        <f t="shared" si="8"/>
        <v>4486.9823753126311</v>
      </c>
      <c r="C72" s="68">
        <f t="shared" si="9"/>
        <v>-24.488095238095234</v>
      </c>
      <c r="D72" s="68">
        <f t="shared" si="10"/>
        <v>26.714285714285715</v>
      </c>
      <c r="E72" s="68">
        <f t="shared" si="11"/>
        <v>45.486486486486491</v>
      </c>
      <c r="F72" s="68">
        <f t="shared" si="12"/>
        <v>67.527777777777786</v>
      </c>
      <c r="G72" s="68">
        <f t="shared" si="13"/>
        <v>90.160714285714292</v>
      </c>
      <c r="H72" s="446">
        <f t="shared" si="16"/>
        <v>110</v>
      </c>
      <c r="I72" s="445">
        <f t="shared" si="15"/>
        <v>1382.5435890319031</v>
      </c>
    </row>
    <row r="73" spans="2:9" ht="17">
      <c r="B73" s="113">
        <f t="shared" si="8"/>
        <v>4690.9361196450236</v>
      </c>
      <c r="C73" s="68">
        <f t="shared" si="9"/>
        <v>-25.601190476190471</v>
      </c>
      <c r="D73" s="68">
        <f t="shared" si="10"/>
        <v>27.928571428571431</v>
      </c>
      <c r="E73" s="68">
        <f t="shared" si="11"/>
        <v>47.554054054054063</v>
      </c>
      <c r="F73" s="68">
        <f t="shared" si="12"/>
        <v>70.597222222222214</v>
      </c>
      <c r="G73" s="68">
        <f t="shared" si="13"/>
        <v>94.258928571428584</v>
      </c>
      <c r="H73" s="446">
        <f t="shared" si="16"/>
        <v>115</v>
      </c>
      <c r="I73" s="445">
        <f t="shared" si="15"/>
        <v>1445.3864794424442</v>
      </c>
    </row>
    <row r="74" spans="2:9" ht="17">
      <c r="B74" s="113">
        <f t="shared" si="8"/>
        <v>4894.8898639774152</v>
      </c>
      <c r="C74" s="68">
        <f t="shared" si="9"/>
        <v>-26.714285714285705</v>
      </c>
      <c r="D74" s="68">
        <f t="shared" si="10"/>
        <v>29.142857142857142</v>
      </c>
      <c r="E74" s="68">
        <f t="shared" si="11"/>
        <v>49.621621621621621</v>
      </c>
      <c r="F74" s="68">
        <f t="shared" si="12"/>
        <v>73.666666666666657</v>
      </c>
      <c r="G74" s="68">
        <f t="shared" si="13"/>
        <v>98.357142857142847</v>
      </c>
      <c r="H74" s="446">
        <f t="shared" si="16"/>
        <v>120</v>
      </c>
      <c r="I74" s="445">
        <f t="shared" si="15"/>
        <v>1508.2293698529852</v>
      </c>
    </row>
    <row r="75" spans="2:9" ht="17">
      <c r="B75" s="113">
        <f t="shared" si="8"/>
        <v>5098.8436083098077</v>
      </c>
      <c r="C75" s="68">
        <f t="shared" si="9"/>
        <v>-27.827380952380953</v>
      </c>
      <c r="D75" s="68">
        <f t="shared" si="10"/>
        <v>30.357142857142858</v>
      </c>
      <c r="E75" s="68">
        <f t="shared" si="11"/>
        <v>51.689189189189193</v>
      </c>
      <c r="F75" s="68">
        <f t="shared" si="12"/>
        <v>76.736111111111114</v>
      </c>
      <c r="G75" s="68">
        <f t="shared" si="13"/>
        <v>102.45535714285715</v>
      </c>
      <c r="H75" s="446">
        <f t="shared" si="16"/>
        <v>125</v>
      </c>
      <c r="I75" s="445">
        <f t="shared" si="15"/>
        <v>1571.0722602635262</v>
      </c>
    </row>
    <row r="76" spans="2:9" ht="17">
      <c r="B76" s="113">
        <f t="shared" si="8"/>
        <v>5302.7973526422002</v>
      </c>
      <c r="C76" s="68">
        <f t="shared" si="9"/>
        <v>-28.940476190476186</v>
      </c>
      <c r="D76" s="68">
        <f t="shared" si="10"/>
        <v>31.571428571428573</v>
      </c>
      <c r="E76" s="68">
        <f t="shared" si="11"/>
        <v>53.756756756756758</v>
      </c>
      <c r="F76" s="68">
        <f t="shared" si="12"/>
        <v>79.805555555555557</v>
      </c>
      <c r="G76" s="68">
        <f t="shared" si="13"/>
        <v>106.55357142857143</v>
      </c>
      <c r="H76" s="446">
        <f t="shared" si="16"/>
        <v>130</v>
      </c>
      <c r="I76" s="445">
        <f t="shared" si="15"/>
        <v>1633.9151506740673</v>
      </c>
    </row>
    <row r="77" spans="2:9" ht="17">
      <c r="B77" s="113">
        <f t="shared" si="8"/>
        <v>5506.7510969745927</v>
      </c>
      <c r="C77" s="68">
        <f t="shared" si="9"/>
        <v>-30.053571428571427</v>
      </c>
      <c r="D77" s="68">
        <f t="shared" si="10"/>
        <v>32.785714285714285</v>
      </c>
      <c r="E77" s="68">
        <f t="shared" si="11"/>
        <v>55.824324324324337</v>
      </c>
      <c r="F77" s="68">
        <f t="shared" si="12"/>
        <v>82.875</v>
      </c>
      <c r="G77" s="68">
        <f t="shared" si="13"/>
        <v>110.65178571428572</v>
      </c>
      <c r="H77" s="446">
        <f t="shared" si="16"/>
        <v>135</v>
      </c>
      <c r="I77" s="445">
        <f t="shared" si="15"/>
        <v>1696.7580410846083</v>
      </c>
    </row>
    <row r="78" spans="2:9" ht="17">
      <c r="B78" s="113">
        <f t="shared" si="8"/>
        <v>5710.7048413069851</v>
      </c>
      <c r="C78" s="68">
        <f t="shared" si="9"/>
        <v>-31.166666666666661</v>
      </c>
      <c r="D78" s="68">
        <f t="shared" si="10"/>
        <v>34</v>
      </c>
      <c r="E78" s="68">
        <f t="shared" si="11"/>
        <v>57.891891891891902</v>
      </c>
      <c r="F78" s="68">
        <f t="shared" si="12"/>
        <v>85.944444444444443</v>
      </c>
      <c r="G78" s="68">
        <f t="shared" si="13"/>
        <v>114.75</v>
      </c>
      <c r="H78" s="446">
        <f t="shared" si="16"/>
        <v>140</v>
      </c>
      <c r="I78" s="445">
        <f t="shared" si="15"/>
        <v>1759.6009314951493</v>
      </c>
    </row>
    <row r="79" spans="2:9" ht="17">
      <c r="B79" s="113">
        <f t="shared" si="8"/>
        <v>5914.6585856393767</v>
      </c>
      <c r="C79" s="68">
        <f t="shared" si="9"/>
        <v>-32.279761904761898</v>
      </c>
      <c r="D79" s="68">
        <f t="shared" si="10"/>
        <v>35.214285714285708</v>
      </c>
      <c r="E79" s="68">
        <f t="shared" si="11"/>
        <v>59.959459459459453</v>
      </c>
      <c r="F79" s="68">
        <f t="shared" si="12"/>
        <v>89.013888888888872</v>
      </c>
      <c r="G79" s="68">
        <f t="shared" si="13"/>
        <v>118.84821428571428</v>
      </c>
      <c r="H79" s="446">
        <f t="shared" si="16"/>
        <v>145</v>
      </c>
      <c r="I79" s="445">
        <f t="shared" si="15"/>
        <v>1822.4438219056904</v>
      </c>
    </row>
    <row r="80" spans="2:9" ht="17">
      <c r="B80" s="451">
        <f t="shared" si="8"/>
        <v>6118.6123299717692</v>
      </c>
      <c r="C80" s="452">
        <f t="shared" si="9"/>
        <v>-33.392857142857139</v>
      </c>
      <c r="D80" s="452">
        <f t="shared" si="10"/>
        <v>36.428571428571431</v>
      </c>
      <c r="E80" s="452">
        <f t="shared" si="11"/>
        <v>62.027027027027032</v>
      </c>
      <c r="F80" s="452">
        <f t="shared" si="12"/>
        <v>92.083333333333329</v>
      </c>
      <c r="G80" s="452">
        <f t="shared" si="13"/>
        <v>122.94642857142858</v>
      </c>
      <c r="H80" s="453">
        <f t="shared" si="16"/>
        <v>150</v>
      </c>
      <c r="I80" s="454">
        <f t="shared" si="15"/>
        <v>1885.2867123162316</v>
      </c>
    </row>
    <row r="81" spans="10:10" ht="18">
      <c r="J81" s="253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Displacement &amp; Cam Protractor</vt:lpstr>
      <vt:lpstr>Airflow &amp; Carburation</vt:lpstr>
      <vt:lpstr>Intake Horn &amp; Runner</vt:lpstr>
      <vt:lpstr>Camshafts</vt:lpstr>
      <vt:lpstr>Tires, Trans, RPM, MPH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VW Air Cooled Boxster</dc:title>
  <dc:subject>Displacement Table &amp; Camshaft Protractor</dc:subject>
  <dc:creator>J. S. Gilstrap</dc:creator>
  <cp:keywords/>
  <dc:description/>
  <cp:lastModifiedBy>J. S. Gilstrap</cp:lastModifiedBy>
  <cp:lastPrinted>2025-09-30T04:08:56Z</cp:lastPrinted>
  <dcterms:created xsi:type="dcterms:W3CDTF">2025-03-19T03:10:25Z</dcterms:created>
  <dcterms:modified xsi:type="dcterms:W3CDTF">2026-02-05T17:00:47Z</dcterms:modified>
  <cp:category/>
</cp:coreProperties>
</file>